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131" windowWidth="11970" windowHeight="7770" activeTab="0"/>
  </bookViews>
  <sheets>
    <sheet name="Sheet1" sheetId="1" r:id="rId1"/>
    <sheet name="Sheet2" sheetId="2" r:id="rId2"/>
    <sheet name="Sheet3" sheetId="3" r:id="rId3"/>
    <sheet name="REF" sheetId="4" r:id="rId4"/>
  </sheets>
  <definedNames>
    <definedName name="ASAcF">'Sheet1'!$J$1</definedName>
    <definedName name="ASAclassCTT">'Sheet1'!$K$5</definedName>
    <definedName name="ASADiFILLET">'Sheet1'!$K$2</definedName>
    <definedName name="ASADri">'Sheet1'!$K$1</definedName>
    <definedName name="ASADriFILL">'Sheet1'!$L$1</definedName>
    <definedName name="ASAe">'Sheet1'!$M$5</definedName>
    <definedName name="ASAextMAJOR">'Sheet1'!$K$3</definedName>
    <definedName name="ASAextMINOR">'Sheet1'!$L$3</definedName>
    <definedName name="ASAformcalcFILLET">'Sheet1'!$N$2</definedName>
    <definedName name="ASAformcalcFLAT">'Sheet1'!$M$2</definedName>
    <definedName name="ASAformEXT">'Sheet1'!$J$2</definedName>
    <definedName name="ASAformFILLET">'Sheet1'!$N$1</definedName>
    <definedName name="ASAformFLATMAJ">'Sheet1'!$M$1</definedName>
    <definedName name="ASAintMAJORmax">'Sheet1'!$J$4</definedName>
    <definedName name="ASAintMINOR">'Sheet1'!$J$3</definedName>
    <definedName name="ASAintMINORmax">'Sheet1'!$N$4</definedName>
    <definedName name="ASAm">'Sheet1'!$L$5</definedName>
    <definedName name="ASAmajorEXTmin">'Sheet1'!$J$5</definedName>
    <definedName name="ASAminorCONT">'Sheet1'!$N$3</definedName>
    <definedName name="ASAminorMINext">'Sheet1'!$M$3</definedName>
    <definedName name="BASEPLUS">'Sheet1'!$L$2</definedName>
    <definedName name="cF">'Sheet1'!$K$57</definedName>
    <definedName name="cFASA">'Sheet1'!$J$1</definedName>
    <definedName name="CLASSaMAXact">'Sheet1'!$M$15</definedName>
    <definedName name="CLASSaMINact">'Sheet1'!$M$14</definedName>
    <definedName name="CLASSaMINeff">'Sheet1'!$J$15</definedName>
    <definedName name="CLASSbMAXact">'Sheet1'!$N$15</definedName>
    <definedName name="CLASSbMINact">'Sheet1'!$N$14</definedName>
    <definedName name="CLASSbMINeff">'Sheet1'!$K$15</definedName>
    <definedName name="CLASScMAXact">'Sheet1'!$O$15</definedName>
    <definedName name="CLASScMINact">'Sheet1'!$O$14</definedName>
    <definedName name="CLASScMINeff">'Sheet1'!$L$15</definedName>
    <definedName name="CLASSIIImajorMAX">'Sheet1'!$L$18</definedName>
    <definedName name="CLASSIImajorMIN">'Sheet1'!$K$18</definedName>
    <definedName name="CLASSImajorMIN">'Sheet1'!$J$18</definedName>
    <definedName name="CLASSXminorMAX">'Sheet1'!$N$18</definedName>
    <definedName name="CLASSYminorMAX">'Sheet1'!$P$18</definedName>
    <definedName name="CLASSZminorMIN">'Sheet1'!$R$18</definedName>
    <definedName name="cV">'Sheet1'!$K$55</definedName>
    <definedName name="DiCalc">'Sheet1'!$J$58</definedName>
    <definedName name="DoCalcExt">'Sheet1'!$A$45</definedName>
    <definedName name="DoCalcFill">'Sheet1'!$L$58</definedName>
    <definedName name="DoCalcFlat">'Sheet1'!$K$58</definedName>
    <definedName name="DoDiMaj">'Sheet1'!$A$43</definedName>
    <definedName name="DriDre">'Sheet1'!$L$57</definedName>
    <definedName name="DS361info">'Sheet1'!$M$48</definedName>
    <definedName name="DSdashINFO">'Sheet1'!$K$47</definedName>
    <definedName name="ExtFormFill">'Sheet1'!$H$33</definedName>
    <definedName name="ExtFormFlat">'Sheet1'!$G$33</definedName>
    <definedName name="ExtFormMod">'Sheet1'!$G$33</definedName>
    <definedName name="Form">'Sheet1'!$I$33</definedName>
    <definedName name="FormDia">'Sheet1'!$A$33</definedName>
    <definedName name="IntMinorTol">'Sheet1'!$M$46</definedName>
    <definedName name="InvEi">'Sheet1'!$A$48</definedName>
    <definedName name="InvEi1">'Sheet1'!$A$48</definedName>
    <definedName name="J500extMAJmax">'Sheet1'!$K$29</definedName>
    <definedName name="J500extMAJmin">'Sheet1'!$L$29</definedName>
    <definedName name="J500extMINORmax">'Sheet1'!$J$29</definedName>
    <definedName name="J500extMOWmax">'Sheet1'!$N$29</definedName>
    <definedName name="J500extMOWmin">'Sheet1'!$N$30</definedName>
    <definedName name="J500extWIREdia">'Sheet1'!$M$30</definedName>
    <definedName name="J500intMAJmin">'Sheet1'!$M$27</definedName>
    <definedName name="J500intMBWmax">'Sheet1'!$N$28</definedName>
    <definedName name="J500intMBWmin">'Sheet1'!$N$27</definedName>
    <definedName name="J500intMINORmax">'Sheet1'!$J$28</definedName>
    <definedName name="J500intMINORmaxCONT">'Sheet1'!$K$28</definedName>
    <definedName name="J500intMINORmaxCONTINUED">'Sheet1'!$L$28</definedName>
    <definedName name="J500intMINORmin">'Sheet1'!$M$28</definedName>
    <definedName name="J500intWIREdia">'Sheet1'!$M$29</definedName>
    <definedName name="J500noTEETH">'Sheet1'!$K$30</definedName>
    <definedName name="J500pa">'Sheet1'!$J$30</definedName>
    <definedName name="J500pd">'Sheet1'!$J$27</definedName>
    <definedName name="J500pdCONT">'Sheet1'!$K$27</definedName>
    <definedName name="J500pdCONTINUED">'Sheet1'!$L$27</definedName>
    <definedName name="lambda">'Sheet1'!$K$56</definedName>
    <definedName name="lambdaxf">'Sheet1'!$L$56</definedName>
    <definedName name="m">'Sheet1'!$J$56</definedName>
    <definedName name="MajInt">'Sheet1'!$A$44</definedName>
    <definedName name="MajMax">'Sheet1'!$C$33</definedName>
    <definedName name="MajMin">'Sheet1'!$B$33</definedName>
    <definedName name="MAXactSELECTION">'Sheet1'!$N$22</definedName>
    <definedName name="MAXeffSELECTION">'Sheet1'!$O$22</definedName>
    <definedName name="MINactSELECTION">'Sheet1'!$N$23</definedName>
    <definedName name="MINeffSELECTION">'Sheet1'!$O$23</definedName>
    <definedName name="MinMax">'Sheet1'!$E$33</definedName>
    <definedName name="MinMin">'Sheet1'!$D$33</definedName>
    <definedName name="MinorInt">'Sheet1'!$L$46</definedName>
    <definedName name="MinorMax">'Sheet1'!$A$46</definedName>
    <definedName name="MinorMax\">'Sheet1'!$A$46</definedName>
    <definedName name="MorePitchError">'Sheet1'!$Q$7</definedName>
    <definedName name="mxf">'Sheet1'!$F$33</definedName>
    <definedName name="NAS541cswMAXact">'Sheet1'!$O$32</definedName>
    <definedName name="NAS541intMAJmax">'Sheet1'!$K$32</definedName>
    <definedName name="NAS541intMAJmin">'Sheet1'!$J$32</definedName>
    <definedName name="NAS541intMINORmax">'Sheet1'!$M$32</definedName>
    <definedName name="NAS541intMINORmin">'Sheet1'!$L$32</definedName>
    <definedName name="NAS541intTIFmax">'Sheet1'!$N$32</definedName>
    <definedName name="NAS542cttMINact">'Sheet1'!$O$33</definedName>
    <definedName name="NAS542extMAJmax">'Sheet1'!$J$33</definedName>
    <definedName name="NAS542extMAJmin">'Sheet1'!$K$33</definedName>
    <definedName name="NAS542extMINORmax">'Sheet1'!$L$33</definedName>
    <definedName name="NAS542extMINORmin">'Sheet1'!$M$33</definedName>
    <definedName name="NAS542extTIFmax">'Sheet1'!$N$33</definedName>
    <definedName name="NAS580cswMAXact">'Sheet1'!$O$35</definedName>
    <definedName name="NAS580intMAJmax">'Sheet1'!$K$35</definedName>
    <definedName name="NAS580intMAJmin">'Sheet1'!$J$35</definedName>
    <definedName name="NAS580intMINORmax">'Sheet1'!$M$35</definedName>
    <definedName name="NAS580intMINORmin">'Sheet1'!$L$35</definedName>
    <definedName name="NAS580intTIF">'Sheet1'!$N$35</definedName>
    <definedName name="NAS581cttMINact">'Sheet1'!$O$34</definedName>
    <definedName name="NAS581extMAJmax">'Sheet1'!$J$34</definedName>
    <definedName name="NAS581extMAJmin">'Sheet1'!$K$34</definedName>
    <definedName name="NAS581extMINORmax">'Sheet1'!$L$34</definedName>
    <definedName name="NAS581extMINORmin">'Sheet1'!$M$34</definedName>
    <definedName name="NAS581extTIF">'Sheet1'!$N$34</definedName>
    <definedName name="NASmajorMAXselection">'Sheet1'!$K$36</definedName>
    <definedName name="NASmajorMINselection">'Sheet1'!$J$36</definedName>
    <definedName name="NASminorMAXselection">'Sheet1'!$M$36</definedName>
    <definedName name="NASminorMINselection">'Sheet1'!$L$36</definedName>
    <definedName name="NAStifSELECTION">'Sheet1'!$N$36</definedName>
    <definedName name="nominal">'Sheet1'!$J$57</definedName>
    <definedName name="OUTofROUNDa">'Sheet1'!$R$16</definedName>
    <definedName name="OUTofROUNDaa">'Sheet1'!$P$5</definedName>
    <definedName name="OUTofROUNDb">'Sheet1'!$R$15</definedName>
    <definedName name="OUTofROUNDbb">'Sheet1'!$P$4</definedName>
    <definedName name="OUTofROUNDc">'Sheet1'!$R$14</definedName>
    <definedName name="OUTofROUNDcc">'Sheet1'!$P$3</definedName>
    <definedName name="OUTofROUNDd">'Sheet1'!$R$13</definedName>
    <definedName name="OUTofROUNDdd">'Sheet1'!$P$2</definedName>
    <definedName name="OUTofROUNDe">'Sheet1'!$R$12</definedName>
    <definedName name="OUTofROUNDee">'Sheet1'!$P$1</definedName>
    <definedName name="OUTofROUNDf">'Sheet1'!$R$11</definedName>
    <definedName name="OUTofROUNDff">'Sheet1'!$O$9</definedName>
    <definedName name="OUTofROUNDg">'Sheet1'!$R$10</definedName>
    <definedName name="OUTofROUNDgg">'Sheet1'!$O$8</definedName>
    <definedName name="OUTofROUNDh">'Sheet1'!$R$9</definedName>
    <definedName name="OUTofROUNDhh">'Sheet1'!$O$7</definedName>
    <definedName name="OUTofROUNDi">'Sheet1'!$R$8</definedName>
    <definedName name="OUTofROUNDii">'Sheet1'!$O$6</definedName>
    <definedName name="OUTofROUNDj">'Sheet1'!$R$7</definedName>
    <definedName name="OUTofROUNDjj">'Sheet1'!$O$5</definedName>
    <definedName name="OUTofROUNDk">'Sheet1'!$R$6</definedName>
    <definedName name="OUTofROUNDkk">'Sheet1'!$O$4</definedName>
    <definedName name="OUTofROUNDl">'Sheet1'!$R$5</definedName>
    <definedName name="OUTofROUNDlast">'Sheet1'!$N$17</definedName>
    <definedName name="OUTofROUNDll">'Sheet1'!$O$3</definedName>
    <definedName name="OUTofROUNDm">'Sheet1'!$R$4</definedName>
    <definedName name="OUTofROUNDmm">'Sheet1'!$O$2</definedName>
    <definedName name="OUTofROUNDn">'Sheet1'!$R$3</definedName>
    <definedName name="OUTofROUNDnn">'Sheet1'!$O$1</definedName>
    <definedName name="OUTofROUNDo">'Sheet1'!$R$2</definedName>
    <definedName name="OUTofROUNDoo">'Sheet1'!$N$16</definedName>
    <definedName name="OUTofROUNDp">'Sheet1'!$R$1</definedName>
    <definedName name="OUTofROUNDq">'Sheet1'!$Q$6</definedName>
    <definedName name="OUTofROUNDr">'Sheet1'!$Q$5</definedName>
    <definedName name="OUTofROUNDs">'Sheet1'!$Q$4</definedName>
    <definedName name="OUTofROUNDt">'Sheet1'!$Q$3</definedName>
    <definedName name="OUTofROUNDu">'Sheet1'!$Q$2</definedName>
    <definedName name="OUTofROUNDv">'Sheet1'!$Q$1</definedName>
    <definedName name="OUTofROUNDw">'Sheet1'!$P$9</definedName>
    <definedName name="OUTofROUNDx">'Sheet1'!$P$8</definedName>
    <definedName name="OUTofROUNDy">'Sheet1'!$P$7</definedName>
    <definedName name="OUTofROUNDz">'Sheet1'!$P$6</definedName>
    <definedName name="PITCHerrorCONT">'Sheet1'!$Q$16</definedName>
    <definedName name="PITCHerrorCONTI">'Sheet1'!$Q$15</definedName>
    <definedName name="PITCHerrorCONTIN">'Sheet1'!$Q$14</definedName>
    <definedName name="PITCHerrorCONTINU">'Sheet1'!$Q$13</definedName>
    <definedName name="PITCHerrorCONTINUE">'Sheet1'!$Q$12</definedName>
    <definedName name="PITCHerrorCONTINUED">'Sheet1'!$Q$11</definedName>
    <definedName name="PITCHerrorLAST">'Sheet1'!$Q$9</definedName>
    <definedName name="PitchErrorMore">'Sheet1'!$Q$10</definedName>
    <definedName name="_xlnm.Print_Area" localSheetId="0">'Sheet1'!$A$1:$I$50</definedName>
    <definedName name="_xlnm.Print_Area" localSheetId="1">'Sheet2'!$A$1:$I$51</definedName>
    <definedName name="SAEaltMOWa">'Sheet1'!$C$54</definedName>
    <definedName name="SAEbd">'Sheet1'!$K$10</definedName>
    <definedName name="SAEcswMAXACT">'Sheet1'!$M$12</definedName>
    <definedName name="SAEcswMAXeff">'Sheet1'!$K$16</definedName>
    <definedName name="SAEcswMINact">'Sheet1'!$J$16</definedName>
    <definedName name="SAEcttCLASSa">'Sheet1'!$J$14</definedName>
    <definedName name="SAEcttCLASSb">'Sheet1'!$K$14</definedName>
    <definedName name="SAEcttCLASSc">'Sheet1'!$L$14</definedName>
    <definedName name="SAEcttCSWnominal">'Sheet1'!$L$12</definedName>
    <definedName name="SAEeightA">'Sheet1'!$O$10</definedName>
    <definedName name="SAEeightB">'Sheet1'!$O$11</definedName>
    <definedName name="SAEeightC">'Sheet1'!$O$12</definedName>
    <definedName name="SAEeightD">'Sheet1'!$O$13</definedName>
    <definedName name="SAEerrorALLOWANCE">'Sheet1'!$M$16</definedName>
    <definedName name="SAEextMAJORmax">'Sheet1'!$M$13</definedName>
    <definedName name="SAEextMAJORmin">'Sheet1'!$L$13</definedName>
    <definedName name="SAEextMINORmax">'Sheet1'!$N$12</definedName>
    <definedName name="SAEextMINORmaxFILLET">'Sheet1'!$K$13</definedName>
    <definedName name="SAEextMINORminFILLET">'Sheet1'!$J$13</definedName>
    <definedName name="SAEextMINORMmin">'Sheet1'!$N$13</definedName>
    <definedName name="SAEfactorE">'Sheet1'!$P$10</definedName>
    <definedName name="SAEfactorEcont">'Sheet1'!$P$11</definedName>
    <definedName name="SAEfactorEconti">'Sheet1'!$P$12</definedName>
    <definedName name="SAEfactorEcontin">'Sheet1'!$P$13</definedName>
    <definedName name="SAEfactorEcontinu">'Sheet1'!$P$14</definedName>
    <definedName name="SAEfactorEcontinue">'Sheet1'!$P$15</definedName>
    <definedName name="SAEfactorEcontinued">'Sheet1'!$P$16</definedName>
    <definedName name="SAEfactorF">'Sheet1'!$O$16</definedName>
    <definedName name="SAEfactorFcont">'Sheet1'!$O$17</definedName>
    <definedName name="SAEintMAJfilletMAX">'Sheet1'!$K$12</definedName>
    <definedName name="SAEintMAJfilletMIN">'Sheet1'!$J$12</definedName>
    <definedName name="SAEintMAJfulldedMAX">'Sheet1'!$M$11</definedName>
    <definedName name="SAEintMAJfulldedMIN">'Sheet1'!$L$11</definedName>
    <definedName name="SAEintMAJmax">'Sheet1'!$M$10</definedName>
    <definedName name="SAEintMAJmin">'Sheet1'!$L$10</definedName>
    <definedName name="SAEintMINORmax">'Sheet1'!$K$11</definedName>
    <definedName name="SAEintMINORmin">'Sheet1'!$J$11</definedName>
    <definedName name="SAEintTIFflatANDfillet">'Sheet1'!$N$11</definedName>
    <definedName name="SAEintTIFmajorfit">'Sheet1'!$N$10</definedName>
    <definedName name="SAEmachTOL">'Sheet1'!$L$16</definedName>
    <definedName name="SAEmajorCLASSI">'Sheet1'!$J$17</definedName>
    <definedName name="SAEmajorCLASSII">'Sheet1'!$K$17</definedName>
    <definedName name="SAEmajorCLASSIII">'Sheet1'!$L$17</definedName>
    <definedName name="SAEminorCLASSX">'Sheet1'!$M$18</definedName>
    <definedName name="SAEminorCLASSY">'Sheet1'!$O$18</definedName>
    <definedName name="SAEminorCLASSZ">'Sheet1'!$Q$18</definedName>
    <definedName name="SAEoutOFround">'Sheet1'!$R$17</definedName>
    <definedName name="SAEpd">'Sheet1'!$J$10</definedName>
    <definedName name="SAEpitchERROR">'Sheet1'!$Q$17</definedName>
    <definedName name="SAEpitchERRORmore">'Sheet1'!$Q$8</definedName>
    <definedName name="SAEprofileERRORtol">'Sheet1'!$P$17</definedName>
    <definedName name="SAEserrEXTmajMAX">'Sheet1'!$M$19</definedName>
    <definedName name="SAEserrEXTmajMIN">'Sheet1'!$N$19</definedName>
    <definedName name="SAEserrEXTminorMAX">'Sheet1'!$O$19</definedName>
    <definedName name="SAEserrEXTminorMIN">'Sheet1'!$P$19</definedName>
    <definedName name="SAEserrEXTtif">'Sheet1'!$Q$19</definedName>
    <definedName name="SAEserrINTmajMAX">'Sheet1'!$K$19</definedName>
    <definedName name="SAEserrINTmajMIN">'Sheet1'!$J$19</definedName>
    <definedName name="SAEserrINTminorMAX">'Sheet1'!$K$24</definedName>
    <definedName name="SAEserrINTminorMIN">'Sheet1'!$J$24</definedName>
    <definedName name="SAEserrINTtif">'Sheet1'!$L$19</definedName>
    <definedName name="SERRbasicCSW">'Sheet1'!$R$19</definedName>
    <definedName name="SERRclassAmaxACT">'Sheet1'!$K$21</definedName>
    <definedName name="SERRclassAmaxEFF">'Sheet1'!$K$23</definedName>
    <definedName name="SERRclassAminEFF">'Sheet1'!$K$22</definedName>
    <definedName name="SERRclassBmaxACT">'Sheet1'!$L$21</definedName>
    <definedName name="SERRclassBmaxEFF">'Sheet1'!$L$23</definedName>
    <definedName name="SERRclassBminEFF">'Sheet1'!$L$22</definedName>
    <definedName name="SERRclassCmaxACT">'Sheet1'!$M$21</definedName>
    <definedName name="SERRclassCmaxEFF">'Sheet1'!$M$23</definedName>
    <definedName name="SERRclassCminEFF">'Sheet1'!$M$22</definedName>
    <definedName name="SERRcswMAXact">'Sheet1'!$J$20</definedName>
    <definedName name="SERRcswMAXeff">'Sheet1'!$J$22</definedName>
    <definedName name="SERRcswMINact">'Sheet1'!$J$21</definedName>
    <definedName name="SERRcswMINeff">'Sheet1'!$J$23</definedName>
    <definedName name="SERRcttCLASSa">'Sheet1'!$K$20</definedName>
    <definedName name="SERRcttCLASSb">'Sheet1'!$L$20</definedName>
    <definedName name="SERRcttCLASSc">'Sheet1'!$M$20</definedName>
    <definedName name="SERRerrorALLOW">'Sheet1'!$P$20</definedName>
    <definedName name="SERRfactorEorF">'Sheet1'!$O$20</definedName>
    <definedName name="SERRfinalPAtoPINctr">'Sheet1'!$Q$23</definedName>
    <definedName name="SERRintMBWmax">'Sheet1'!$P$23</definedName>
    <definedName name="SERRintMBWmin">'Sheet1'!$P$24</definedName>
    <definedName name="SERRinvEi">'Sheet1'!$N$20</definedName>
    <definedName name="SERRinvEiMIN">'Sheet1'!$N$21</definedName>
    <definedName name="SERRmachTOL">'Sheet1'!$Q$20</definedName>
    <definedName name="SERRmowEXTmax">'Sheet1'!$P$22</definedName>
    <definedName name="SERRmowEXTmin">'Sheet1'!$P$21</definedName>
    <definedName name="SERRoutOFround">'Sheet1'!$R$20</definedName>
    <definedName name="SERRoutOFroundA">'Sheet1'!$R$21</definedName>
    <definedName name="SERRoutOFroundAA">'Sheet1'!$R$48</definedName>
    <definedName name="SERRoutOFroundB">'Sheet1'!$R$22</definedName>
    <definedName name="SERRoutOFroundBB">'Sheet1'!$R$49</definedName>
    <definedName name="SERRoutOFroundC">'Sheet1'!$R$23</definedName>
    <definedName name="SERRoutOFroundCC">'Sheet1'!$R$50</definedName>
    <definedName name="SERRoutOFroundD">'Sheet1'!$R$24</definedName>
    <definedName name="SERRoutOFroundDD">'Sheet1'!$R$51</definedName>
    <definedName name="SERRoutOFroundE">'Sheet1'!$R$25</definedName>
    <definedName name="SERRoutOFroundEE">'Sheet1'!$R$52</definedName>
    <definedName name="SERRoutOFroundF">'Sheet1'!$R$26</definedName>
    <definedName name="SERRoutOFroundFF">'Sheet1'!$R$53</definedName>
    <definedName name="SERRoutOFroundG">'Sheet1'!$R$27</definedName>
    <definedName name="SERRoutOFroundGG">'Sheet1'!$R$54</definedName>
    <definedName name="SERRoutOFroundH">'Sheet1'!$R$28</definedName>
    <definedName name="SERRoutOFroundHH">'Sheet1'!$R$55</definedName>
    <definedName name="SERRoutOFroundI">'Sheet1'!$R$29</definedName>
    <definedName name="SERRoutOFroundII">'Sheet1'!$R$56</definedName>
    <definedName name="SERRoutOFroundJ">'Sheet1'!$R$30</definedName>
    <definedName name="SERRoutOFroundJJ">'Sheet1'!$R$57</definedName>
    <definedName name="SERRoutOFroundK">'Sheet1'!$R$31</definedName>
    <definedName name="SERRoutOFroundKK">'Sheet1'!$R$58</definedName>
    <definedName name="SERRoutOFroundL">'Sheet1'!$R$32</definedName>
    <definedName name="SERRoutOFroundLL">'Sheet1'!$R$59</definedName>
    <definedName name="SERRoutOFroundM">'Sheet1'!$R$33</definedName>
    <definedName name="SERRoutOFroundMM">'Sheet1'!$R$60</definedName>
    <definedName name="SERRoutOFroundN">'Sheet1'!$R$34</definedName>
    <definedName name="SERRoutOFroundNN">'Sheet1'!$R$61</definedName>
    <definedName name="SERRoutOFroundO">'Sheet1'!$R$35</definedName>
    <definedName name="SERRoutOFroundOO">'Sheet1'!$R$62</definedName>
    <definedName name="SERRoutOFroundP">'Sheet1'!$R$36</definedName>
    <definedName name="SERRoutOFroundPP">'Sheet1'!$R$63</definedName>
    <definedName name="SERRoutOFroundQ">'Sheet1'!$R$38</definedName>
    <definedName name="SERRoutOFroundQQ">'Sheet1'!$R$64</definedName>
    <definedName name="SERRoutOFroundR">'Sheet1'!$R$39</definedName>
    <definedName name="SERRoutOFroundRR">'Sheet1'!$R$65</definedName>
    <definedName name="SERRoutOFroundS">'Sheet1'!$R$40</definedName>
    <definedName name="SERRoutOFroundSS">'Sheet1'!$R$66</definedName>
    <definedName name="SERRoutOFroundT">'Sheet1'!$R$41</definedName>
    <definedName name="SERRoutOFroundTT">'Sheet1'!$R$67</definedName>
    <definedName name="SERRoutOFroundU">'Sheet1'!$R$42</definedName>
    <definedName name="SERRoutOFroundUU">'Sheet1'!$R$68</definedName>
    <definedName name="SERRoutOFroundV">'Sheet1'!$R$43</definedName>
    <definedName name="SERRoutOFroundW">'Sheet1'!$R$44</definedName>
    <definedName name="SERRoutOFroundX">'Sheet1'!$R$45</definedName>
    <definedName name="SERRoutOFroundY">'Sheet1'!$R$46</definedName>
    <definedName name="SERRoutOFroundZ">'Sheet1'!$R$47</definedName>
    <definedName name="SERRpaTOpinCTRa">'Sheet1'!$Q$21</definedName>
    <definedName name="SERRpaTOpinCTRb">'Sheet1'!$Q$22</definedName>
    <definedName name="SRATcF">'Sheet1'!$J$8</definedName>
    <definedName name="SRATe">'Sheet1'!$L$8</definedName>
    <definedName name="SRATextMAJmin">'Sheet1'!$M$9</definedName>
    <definedName name="SRATextMINORmin">'Sheet1'!$N$9</definedName>
    <definedName name="SRATintMAJmax">'Sheet1'!$M$8</definedName>
    <definedName name="SRATintMINmax">'Sheet1'!$N$8</definedName>
    <definedName name="SRATm">'Sheet1'!$K$8</definedName>
    <definedName name="SRATmaxACTctt">'Sheet1'!$K$9</definedName>
    <definedName name="SRATminACTcsw">'Sheet1'!$L$9</definedName>
    <definedName name="SRATthirtyeight">'Sheet1'!$N$7</definedName>
    <definedName name="SRATthirtyfour">'Sheet1'!$L$7</definedName>
    <definedName name="SRATthirtyone">'Sheet1'!$J$7</definedName>
    <definedName name="SRATthirtyseven">'Sheet1'!$M$7</definedName>
    <definedName name="SRATthirtytwo">'Sheet1'!$K$7</definedName>
    <definedName name="SRATtwentyeight">'Sheet1'!$M$6</definedName>
    <definedName name="SRATtwentyfive">'Sheet1'!$J$6</definedName>
    <definedName name="SRATtwentyfour">'Sheet1'!$N$5</definedName>
    <definedName name="SRATtwentynine">'Sheet1'!$N$6</definedName>
    <definedName name="SRATtwentyseven">'Sheet1'!$L$6</definedName>
    <definedName name="SRATtwentysix">'Sheet1'!$K$6</definedName>
    <definedName name="tV">'Sheet1'!$J$55</definedName>
    <definedName name="Z_61AFEE90_24D7_4C7B_8908_6F4B59D4444D_.wvu.PrintArea" localSheetId="0" hidden="1">'Sheet1'!$A$1:$I$50</definedName>
    <definedName name="Z_61AFEE90_24D7_4C7B_8908_6F4B59D4444D_.wvu.PrintArea" localSheetId="1" hidden="1">'Sheet2'!$A$1:$I$51</definedName>
    <definedName name="Z_714F882B_CF85_479A_BD12_76BFAC203EE8_.wvu.PrintArea" localSheetId="0" hidden="1">'Sheet1'!$A$1:$I$50</definedName>
    <definedName name="Z_714F882B_CF85_479A_BD12_76BFAC203EE8_.wvu.PrintArea" localSheetId="1" hidden="1">'Sheet2'!$A$1:$I$51</definedName>
  </definedNames>
  <calcPr fullCalcOnLoad="1"/>
</workbook>
</file>

<file path=xl/sharedStrings.xml><?xml version="1.0" encoding="utf-8"?>
<sst xmlns="http://schemas.openxmlformats.org/spreadsheetml/2006/main" count="193" uniqueCount="130">
  <si>
    <t>GERHARDT GEAR CO., INC.</t>
  </si>
  <si>
    <t>133 E. Santa Anita Ave.</t>
  </si>
  <si>
    <t>Burbank CA, 91502-1926</t>
  </si>
  <si>
    <t>Ph.- (818) 842-6700   Fax - (818) 842-1458</t>
  </si>
  <si>
    <t>Involute Spline and Serration Program</t>
  </si>
  <si>
    <r>
      <t xml:space="preserve">1 = </t>
    </r>
    <r>
      <rPr>
        <sz val="10"/>
        <rFont val="Arial"/>
        <family val="2"/>
      </rPr>
      <t>ANSI B92.1-1970</t>
    </r>
  </si>
  <si>
    <r>
      <t xml:space="preserve">2 = </t>
    </r>
    <r>
      <rPr>
        <sz val="10"/>
        <rFont val="Arial"/>
        <family val="2"/>
      </rPr>
      <t>ANSI B92.1-1996</t>
    </r>
  </si>
  <si>
    <r>
      <t xml:space="preserve">3 = </t>
    </r>
    <r>
      <rPr>
        <sz val="10"/>
        <rFont val="Arial"/>
        <family val="2"/>
      </rPr>
      <t>ASA B5.15-1960</t>
    </r>
  </si>
  <si>
    <r>
      <t xml:space="preserve">4 = </t>
    </r>
    <r>
      <rPr>
        <sz val="10"/>
        <rFont val="Arial"/>
        <family val="2"/>
      </rPr>
      <t>SAE STANDARD - 1950</t>
    </r>
  </si>
  <si>
    <r>
      <t xml:space="preserve">5 = </t>
    </r>
    <r>
      <rPr>
        <sz val="10"/>
        <rFont val="Arial"/>
        <family val="2"/>
      </rPr>
      <t>SAE J500</t>
    </r>
  </si>
  <si>
    <r>
      <t xml:space="preserve">1 = </t>
    </r>
    <r>
      <rPr>
        <sz val="10"/>
        <rFont val="Arial"/>
        <family val="2"/>
      </rPr>
      <t>Flat Root, Side Fit</t>
    </r>
  </si>
  <si>
    <r>
      <t xml:space="preserve">2 = </t>
    </r>
    <r>
      <rPr>
        <sz val="10"/>
        <rFont val="Arial"/>
        <family val="2"/>
      </rPr>
      <t>Fillet Root, Side Fit</t>
    </r>
  </si>
  <si>
    <r>
      <t xml:space="preserve">3 = </t>
    </r>
    <r>
      <rPr>
        <sz val="10"/>
        <rFont val="Arial"/>
        <family val="2"/>
      </rPr>
      <t>Flat Root, Major Dia. Fit</t>
    </r>
  </si>
  <si>
    <r>
      <t xml:space="preserve">1 = </t>
    </r>
    <r>
      <rPr>
        <sz val="10"/>
        <rFont val="Arial"/>
        <family val="2"/>
      </rPr>
      <t>Class 1 - ASA</t>
    </r>
  </si>
  <si>
    <r>
      <t xml:space="preserve">2 = </t>
    </r>
    <r>
      <rPr>
        <sz val="10"/>
        <rFont val="Arial"/>
        <family val="2"/>
      </rPr>
      <t>Class 2 - ASA</t>
    </r>
  </si>
  <si>
    <r>
      <t xml:space="preserve">4 = </t>
    </r>
    <r>
      <rPr>
        <sz val="10"/>
        <rFont val="Arial"/>
        <family val="2"/>
      </rPr>
      <t>Class 4 - ANSI</t>
    </r>
  </si>
  <si>
    <r>
      <t xml:space="preserve">5 = </t>
    </r>
    <r>
      <rPr>
        <sz val="10"/>
        <rFont val="Arial"/>
        <family val="2"/>
      </rPr>
      <t>Class 5 - ANSI</t>
    </r>
  </si>
  <si>
    <r>
      <t xml:space="preserve">6 = </t>
    </r>
    <r>
      <rPr>
        <sz val="10"/>
        <rFont val="Arial"/>
        <family val="2"/>
      </rPr>
      <t>Class 6 - ANSI</t>
    </r>
  </si>
  <si>
    <r>
      <t xml:space="preserve">7 = </t>
    </r>
    <r>
      <rPr>
        <sz val="10"/>
        <rFont val="Arial"/>
        <family val="2"/>
      </rPr>
      <t>Class 7 - ANSI</t>
    </r>
  </si>
  <si>
    <r>
      <t xml:space="preserve">8 = </t>
    </r>
    <r>
      <rPr>
        <sz val="10"/>
        <rFont val="Arial"/>
        <family val="2"/>
      </rPr>
      <t>Class A - SAE</t>
    </r>
  </si>
  <si>
    <r>
      <t xml:space="preserve">10 = </t>
    </r>
    <r>
      <rPr>
        <sz val="10"/>
        <rFont val="Arial"/>
        <family val="2"/>
      </rPr>
      <t>Class C - SAE</t>
    </r>
  </si>
  <si>
    <t>N</t>
  </si>
  <si>
    <t>DP</t>
  </si>
  <si>
    <t>PA</t>
  </si>
  <si>
    <t>note: enter the first number only for DP (no fractions).</t>
  </si>
  <si>
    <t>N =</t>
  </si>
  <si>
    <t>DP =</t>
  </si>
  <si>
    <t>PA =</t>
  </si>
  <si>
    <t>PD =</t>
  </si>
  <si>
    <t>MAJOR MIN =</t>
  </si>
  <si>
    <t>MAJOR MAX =</t>
  </si>
  <si>
    <t>MINOR MIN =</t>
  </si>
  <si>
    <t>MINOR MAX =</t>
  </si>
  <si>
    <t>MAX ACT =</t>
  </si>
  <si>
    <t>MIN ACT =</t>
  </si>
  <si>
    <t>MAX EFF =</t>
  </si>
  <si>
    <t>MIN EFF =</t>
  </si>
  <si>
    <t>MOW/MBW =</t>
  </si>
  <si>
    <t>OVER</t>
  </si>
  <si>
    <t>PINS</t>
  </si>
  <si>
    <t>MACH TOL =</t>
  </si>
  <si>
    <t>BASE DIA =</t>
  </si>
  <si>
    <t>FORM DIA =</t>
  </si>
  <si>
    <t>TO</t>
  </si>
  <si>
    <t>ANSI:</t>
  </si>
  <si>
    <t>ASA:</t>
  </si>
  <si>
    <t>SAE:</t>
  </si>
  <si>
    <r>
      <t xml:space="preserve">4 </t>
    </r>
    <r>
      <rPr>
        <sz val="10"/>
        <rFont val="Arial"/>
        <family val="2"/>
      </rPr>
      <t>= Minor Dia. Fit</t>
    </r>
  </si>
  <si>
    <r>
      <t xml:space="preserve"> 9 = </t>
    </r>
    <r>
      <rPr>
        <sz val="10"/>
        <rFont val="Arial"/>
        <family val="2"/>
      </rPr>
      <t>Class B - SAE</t>
    </r>
  </si>
  <si>
    <r>
      <t xml:space="preserve">STEP 1) </t>
    </r>
    <r>
      <rPr>
        <sz val="10"/>
        <rFont val="Arial"/>
        <family val="2"/>
      </rPr>
      <t>Please enter the number which corresponds to the drawing specification:</t>
    </r>
  </si>
  <si>
    <r>
      <t xml:space="preserve">STEP 3) </t>
    </r>
    <r>
      <rPr>
        <sz val="10"/>
        <rFont val="Arial"/>
        <family val="2"/>
      </rPr>
      <t>Please enter the number which corresponds to the desired fit type (if applicable):</t>
    </r>
  </si>
  <si>
    <r>
      <t>STEP 4)</t>
    </r>
    <r>
      <rPr>
        <sz val="10"/>
        <rFont val="Arial"/>
        <family val="2"/>
      </rPr>
      <t xml:space="preserve"> Please enter the number which corresponds to the desired class of fit (if applicable):</t>
    </r>
  </si>
  <si>
    <r>
      <t xml:space="preserve">STEP 5) </t>
    </r>
    <r>
      <rPr>
        <sz val="10"/>
        <rFont val="Arial"/>
        <family val="2"/>
      </rPr>
      <t>Please enter the number of teeth, diametral pitch and pressure angle:</t>
    </r>
  </si>
  <si>
    <t>For SAE-1950 Major &amp; Minor Dia. Fit, enter class 1,2 OR 3:                       (For Minor Dia Fit enter 1 for Class X, 2 for Class Y, 3 for Class Z)</t>
  </si>
  <si>
    <t>For SAE J500, enter the Nominal Diameter</t>
  </si>
  <si>
    <r>
      <t xml:space="preserve">6 = </t>
    </r>
    <r>
      <rPr>
        <sz val="10"/>
        <rFont val="Arial"/>
        <family val="2"/>
      </rPr>
      <t>NAS 541/2, 580/1</t>
    </r>
  </si>
  <si>
    <t>(NAS 541 - Internal 45 deg   NAS 542 - External 45 deg   NAS 580 - Internal 30 deg   NAS 581 - External 30 deg)</t>
  </si>
  <si>
    <r>
      <t xml:space="preserve">STEP 2) </t>
    </r>
    <r>
      <rPr>
        <sz val="10"/>
        <rFont val="Arial"/>
        <family val="2"/>
      </rPr>
      <t xml:space="preserve">Please enter a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for external teeth or a </t>
    </r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>for internal teeth:</t>
    </r>
  </si>
  <si>
    <t>SPLINE / SERRATION DATA</t>
  </si>
  <si>
    <r>
      <t xml:space="preserve">7 = </t>
    </r>
    <r>
      <rPr>
        <sz val="10"/>
        <rFont val="Arial"/>
        <family val="2"/>
      </rPr>
      <t>DS360/361</t>
    </r>
  </si>
  <si>
    <t>Enter DS dash number here.</t>
  </si>
  <si>
    <t>(DS360 - External 30 deg   DS361 - Internal 30 deg)</t>
  </si>
  <si>
    <t>SPLINE / SERRATION DATA - VARIATION ALLOWANCES</t>
  </si>
  <si>
    <t>LEAD VARIATION =</t>
  </si>
  <si>
    <t>TOTAL INDEX VARIATION =</t>
  </si>
  <si>
    <t>VARIATION ALLOWANCE =</t>
  </si>
  <si>
    <t>NEG. PROFILE VARIATION =</t>
  </si>
  <si>
    <t>POS. PROFILE VARIATION =</t>
  </si>
  <si>
    <r>
      <t xml:space="preserve">STEP 1) </t>
    </r>
    <r>
      <rPr>
        <sz val="10"/>
        <rFont val="Arial"/>
        <family val="2"/>
      </rPr>
      <t>Please enter the length of engagement in inches.</t>
    </r>
  </si>
  <si>
    <t>Program Notes:</t>
  </si>
  <si>
    <t>ANSI, ASA, &amp; SAE 1950:</t>
  </si>
  <si>
    <t>Step 1: Enter only 1 thru 4 in the first box, the second box (DS dash #) should be left blank.</t>
  </si>
  <si>
    <t xml:space="preserve">            SAE 1950, and only for a major or minor fit type, otherwise leave it blank.</t>
  </si>
  <si>
    <t xml:space="preserve">Step 3: Enter 1 thru 4 in the first box for the fit type. The second box applies only for </t>
  </si>
  <si>
    <t>Step 2: Enter 1 or 2.</t>
  </si>
  <si>
    <t>Step 4: Enter 1 or 2 for ASA, 4 thru 7 for ANSI, or 8 thru 10 for SAE 1950.</t>
  </si>
  <si>
    <t xml:space="preserve">Step 5: Enter in the appropriate box the desired number of teeth, diametral pitch and </t>
  </si>
  <si>
    <t xml:space="preserve">            pressure angle. Leave the box for nominal diameter blank, it applies only for J500.</t>
  </si>
  <si>
    <t>SAE J500</t>
  </si>
  <si>
    <t>Step 1: Enter 5 in the first box, the second box (DS dash #) should be left blank.</t>
  </si>
  <si>
    <t>Step 3: N/A, leave blank.</t>
  </si>
  <si>
    <t>Step 4: N/A, leave blank.</t>
  </si>
  <si>
    <t>Step 5: The ONLY required box to enter is the nominal diameter. It may be entered as a</t>
  </si>
  <si>
    <t xml:space="preserve">            decimal or a fraction. A space must be left between whole numbers and fractions.</t>
  </si>
  <si>
    <t xml:space="preserve">            Example: 1 (space bar) 3/4. Otherwise it will be read as 13/4 (Thirteen fourths).</t>
  </si>
  <si>
    <t>NAS</t>
  </si>
  <si>
    <t>Step 1: Enter 6 in the first box, the second box (DS dash #) should be left blank.</t>
  </si>
  <si>
    <t>Step 3: N/A, leave blank. (all NAS have a fillet root)</t>
  </si>
  <si>
    <t>DS</t>
  </si>
  <si>
    <t>Step 1: Enter 7 in the first box, enter the dash number in the second. Dash numbers</t>
  </si>
  <si>
    <r>
      <t xml:space="preserve">            </t>
    </r>
    <r>
      <rPr>
        <b/>
        <sz val="10"/>
        <rFont val="Arial"/>
        <family val="2"/>
      </rPr>
      <t>range from 306 thru 406 for DS360(EXT), and from 06 thru 106 for DS361(INT).</t>
    </r>
  </si>
  <si>
    <t>Steps 3 thru 5: N/A, leave blank. (N, DP, and PA are determined by the dash #)</t>
  </si>
  <si>
    <t>MAX. MOW/MBW =</t>
  </si>
  <si>
    <t>MIN. MOW/MBW =</t>
  </si>
  <si>
    <t>WIRE DIA. =</t>
  </si>
  <si>
    <t>MIN. PLATING PER FLANK =</t>
  </si>
  <si>
    <t>MAX. PLATING PER FLANK =</t>
  </si>
  <si>
    <t>Calculation for Tooth Thickness (No Plating)</t>
  </si>
  <si>
    <t>Calculation for MOW / MBW (With Plating)</t>
  </si>
  <si>
    <t>MAX. CTT/SPW =</t>
  </si>
  <si>
    <t xml:space="preserve"> MIN. CTT/SPW =</t>
  </si>
  <si>
    <t xml:space="preserve">PLATING ALLOWANCE </t>
  </si>
  <si>
    <r>
      <t xml:space="preserve">                                 Involute Spline and Serration Program                     </t>
    </r>
    <r>
      <rPr>
        <b/>
        <sz val="12"/>
        <color indexed="10"/>
        <rFont val="Arial"/>
        <family val="2"/>
      </rPr>
      <t>ver. 1.1</t>
    </r>
  </si>
  <si>
    <r>
      <t xml:space="preserve">STEP 1) </t>
    </r>
    <r>
      <rPr>
        <sz val="10"/>
        <color indexed="9"/>
        <rFont val="Arial"/>
        <family val="2"/>
      </rPr>
      <t>Please enter the number which corresponds to the drawing specification:</t>
    </r>
  </si>
  <si>
    <r>
      <t xml:space="preserve">1 = </t>
    </r>
    <r>
      <rPr>
        <sz val="10"/>
        <color indexed="9"/>
        <rFont val="Arial"/>
        <family val="2"/>
      </rPr>
      <t>ANSI B92.1-1970</t>
    </r>
  </si>
  <si>
    <r>
      <t xml:space="preserve">5 = </t>
    </r>
    <r>
      <rPr>
        <sz val="10"/>
        <color indexed="9"/>
        <rFont val="Arial"/>
        <family val="2"/>
      </rPr>
      <t>SAE J500</t>
    </r>
  </si>
  <si>
    <r>
      <t xml:space="preserve">2 = </t>
    </r>
    <r>
      <rPr>
        <sz val="10"/>
        <color indexed="9"/>
        <rFont val="Arial"/>
        <family val="2"/>
      </rPr>
      <t>ANSI B92.1-1996</t>
    </r>
  </si>
  <si>
    <r>
      <t xml:space="preserve">6 = </t>
    </r>
    <r>
      <rPr>
        <sz val="10"/>
        <color indexed="9"/>
        <rFont val="Arial"/>
        <family val="2"/>
      </rPr>
      <t>NAS 541/2, 580/1</t>
    </r>
  </si>
  <si>
    <r>
      <t xml:space="preserve">3 = </t>
    </r>
    <r>
      <rPr>
        <sz val="10"/>
        <color indexed="9"/>
        <rFont val="Arial"/>
        <family val="2"/>
      </rPr>
      <t>ASA B5.15-1960</t>
    </r>
  </si>
  <si>
    <r>
      <t xml:space="preserve">7 = </t>
    </r>
    <r>
      <rPr>
        <sz val="10"/>
        <color indexed="9"/>
        <rFont val="Arial"/>
        <family val="2"/>
      </rPr>
      <t>DS360/361</t>
    </r>
  </si>
  <si>
    <r>
      <t xml:space="preserve">4 = </t>
    </r>
    <r>
      <rPr>
        <sz val="10"/>
        <color indexed="9"/>
        <rFont val="Arial"/>
        <family val="2"/>
      </rPr>
      <t>SAE STANDARD - 1950</t>
    </r>
  </si>
  <si>
    <r>
      <t xml:space="preserve">STEP 2) </t>
    </r>
    <r>
      <rPr>
        <sz val="10"/>
        <color indexed="9"/>
        <rFont val="Arial"/>
        <family val="2"/>
      </rPr>
      <t xml:space="preserve">Please enter a </t>
    </r>
    <r>
      <rPr>
        <b/>
        <sz val="10"/>
        <color indexed="9"/>
        <rFont val="Arial"/>
        <family val="2"/>
      </rPr>
      <t xml:space="preserve">1 </t>
    </r>
    <r>
      <rPr>
        <sz val="10"/>
        <color indexed="9"/>
        <rFont val="Arial"/>
        <family val="2"/>
      </rPr>
      <t xml:space="preserve">for external teeth or a </t>
    </r>
    <r>
      <rPr>
        <b/>
        <sz val="10"/>
        <color indexed="9"/>
        <rFont val="Arial"/>
        <family val="2"/>
      </rPr>
      <t xml:space="preserve">2 </t>
    </r>
    <r>
      <rPr>
        <sz val="10"/>
        <color indexed="9"/>
        <rFont val="Arial"/>
        <family val="2"/>
      </rPr>
      <t>for internal teeth:</t>
    </r>
  </si>
  <si>
    <r>
      <t xml:space="preserve">STEP 3) </t>
    </r>
    <r>
      <rPr>
        <sz val="10"/>
        <color indexed="9"/>
        <rFont val="Arial"/>
        <family val="2"/>
      </rPr>
      <t>Please enter the number which corresponds to the desired fit type (if applicable):</t>
    </r>
  </si>
  <si>
    <r>
      <t xml:space="preserve">1 = </t>
    </r>
    <r>
      <rPr>
        <sz val="10"/>
        <color indexed="9"/>
        <rFont val="Arial"/>
        <family val="2"/>
      </rPr>
      <t>Flat Root, Side Fit</t>
    </r>
  </si>
  <si>
    <r>
      <t xml:space="preserve">3 = </t>
    </r>
    <r>
      <rPr>
        <sz val="10"/>
        <color indexed="9"/>
        <rFont val="Arial"/>
        <family val="2"/>
      </rPr>
      <t>Flat Root, Major Dia. Fit</t>
    </r>
  </si>
  <si>
    <r>
      <t xml:space="preserve">2 = </t>
    </r>
    <r>
      <rPr>
        <sz val="10"/>
        <color indexed="9"/>
        <rFont val="Arial"/>
        <family val="2"/>
      </rPr>
      <t>Fillet Root, Side Fit</t>
    </r>
  </si>
  <si>
    <r>
      <t xml:space="preserve">4 </t>
    </r>
    <r>
      <rPr>
        <sz val="10"/>
        <color indexed="9"/>
        <rFont val="Arial"/>
        <family val="2"/>
      </rPr>
      <t>= Minor Dia. Fit</t>
    </r>
  </si>
  <si>
    <r>
      <t>STEP 4)</t>
    </r>
    <r>
      <rPr>
        <sz val="10"/>
        <color indexed="9"/>
        <rFont val="Arial"/>
        <family val="2"/>
      </rPr>
      <t xml:space="preserve"> Please enter the number which corresponds to the desired class of fit (if applicable):</t>
    </r>
  </si>
  <si>
    <r>
      <t xml:space="preserve">4 = </t>
    </r>
    <r>
      <rPr>
        <sz val="10"/>
        <color indexed="9"/>
        <rFont val="Arial"/>
        <family val="2"/>
      </rPr>
      <t>Class 4 - ANSI</t>
    </r>
  </si>
  <si>
    <r>
      <t xml:space="preserve">1 = </t>
    </r>
    <r>
      <rPr>
        <sz val="10"/>
        <color indexed="9"/>
        <rFont val="Arial"/>
        <family val="2"/>
      </rPr>
      <t>Class 1 - ASA</t>
    </r>
  </si>
  <si>
    <r>
      <t xml:space="preserve"> 9 = </t>
    </r>
    <r>
      <rPr>
        <sz val="10"/>
        <color indexed="9"/>
        <rFont val="Arial"/>
        <family val="2"/>
      </rPr>
      <t>Class B - SAE</t>
    </r>
  </si>
  <si>
    <r>
      <t xml:space="preserve">5 = </t>
    </r>
    <r>
      <rPr>
        <sz val="10"/>
        <color indexed="9"/>
        <rFont val="Arial"/>
        <family val="2"/>
      </rPr>
      <t>Class 5 - ANSI</t>
    </r>
  </si>
  <si>
    <r>
      <t xml:space="preserve">2 = </t>
    </r>
    <r>
      <rPr>
        <sz val="10"/>
        <color indexed="9"/>
        <rFont val="Arial"/>
        <family val="2"/>
      </rPr>
      <t>Class 2 - ASA</t>
    </r>
  </si>
  <si>
    <r>
      <t xml:space="preserve">10 = </t>
    </r>
    <r>
      <rPr>
        <sz val="10"/>
        <color indexed="9"/>
        <rFont val="Arial"/>
        <family val="2"/>
      </rPr>
      <t>Class C - SAE</t>
    </r>
  </si>
  <si>
    <r>
      <t xml:space="preserve">6 = </t>
    </r>
    <r>
      <rPr>
        <sz val="10"/>
        <color indexed="9"/>
        <rFont val="Arial"/>
        <family val="2"/>
      </rPr>
      <t>Class 6 - ANSI</t>
    </r>
  </si>
  <si>
    <r>
      <t xml:space="preserve">7 = </t>
    </r>
    <r>
      <rPr>
        <sz val="10"/>
        <color indexed="9"/>
        <rFont val="Arial"/>
        <family val="2"/>
      </rPr>
      <t>Class 7 - ANSI</t>
    </r>
  </si>
  <si>
    <r>
      <t xml:space="preserve">8 = </t>
    </r>
    <r>
      <rPr>
        <sz val="10"/>
        <color indexed="9"/>
        <rFont val="Arial"/>
        <family val="2"/>
      </rPr>
      <t>Class A - SAE</t>
    </r>
  </si>
  <si>
    <r>
      <t xml:space="preserve">STEP 5) </t>
    </r>
    <r>
      <rPr>
        <sz val="10"/>
        <color indexed="9"/>
        <rFont val="Arial"/>
        <family val="2"/>
      </rPr>
      <t>Please enter the number of teeth, diametral pitch and pressure angle:</t>
    </r>
  </si>
  <si>
    <t>** FOLLOW INSTRUCTIONS ON PAGE 3 **</t>
  </si>
  <si>
    <t>DS Dash no.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</si>
</sst>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  <numFmt numFmtId="175" formatCode="0.0000000"/>
    <numFmt numFmtId="176" formatCode="0.000000"/>
    <numFmt numFmtId="177" formatCode="00000"/>
    <numFmt numFmtId="178" formatCode="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26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4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73" fontId="4" fillId="2" borderId="0" xfId="0" applyNumberFormat="1" applyFont="1" applyFill="1" applyAlignment="1">
      <alignment/>
    </xf>
    <xf numFmtId="173" fontId="4" fillId="2" borderId="0" xfId="0" applyNumberFormat="1" applyFont="1" applyFill="1" applyAlignment="1">
      <alignment horizontal="right" vertical="center"/>
    </xf>
    <xf numFmtId="174" fontId="4" fillId="2" borderId="0" xfId="0" applyNumberFormat="1" applyFont="1" applyFill="1" applyAlignment="1">
      <alignment horizontal="right" vertical="center"/>
    </xf>
    <xf numFmtId="17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174" fontId="4" fillId="2" borderId="0" xfId="0" applyNumberFormat="1" applyFont="1" applyFill="1" applyAlignment="1" applyProtection="1">
      <alignment/>
      <protection/>
    </xf>
    <xf numFmtId="173" fontId="4" fillId="2" borderId="0" xfId="0" applyNumberFormat="1" applyFont="1" applyFill="1" applyAlignment="1" applyProtection="1">
      <alignment/>
      <protection/>
    </xf>
    <xf numFmtId="172" fontId="4" fillId="2" borderId="0" xfId="0" applyNumberFormat="1" applyFont="1" applyFill="1" applyAlignment="1" applyProtection="1">
      <alignment/>
      <protection/>
    </xf>
    <xf numFmtId="172" fontId="4" fillId="2" borderId="0" xfId="0" applyNumberFormat="1" applyFont="1" applyFill="1" applyAlignment="1" applyProtection="1">
      <alignment horizontal="right"/>
      <protection/>
    </xf>
    <xf numFmtId="2" fontId="4" fillId="2" borderId="0" xfId="0" applyNumberFormat="1" applyFont="1" applyFill="1" applyAlignment="1" applyProtection="1">
      <alignment/>
      <protection/>
    </xf>
    <xf numFmtId="1" fontId="4" fillId="2" borderId="0" xfId="0" applyNumberFormat="1" applyFont="1" applyFill="1" applyAlignment="1" applyProtection="1">
      <alignment/>
      <protection/>
    </xf>
    <xf numFmtId="173" fontId="4" fillId="2" borderId="0" xfId="0" applyNumberFormat="1" applyFont="1" applyFill="1" applyAlignment="1" applyProtection="1">
      <alignment horizontal="right" vertical="center"/>
      <protection/>
    </xf>
    <xf numFmtId="173" fontId="4" fillId="2" borderId="0" xfId="0" applyNumberFormat="1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 horizontal="center" vertical="center"/>
      <protection/>
    </xf>
    <xf numFmtId="173" fontId="4" fillId="2" borderId="0" xfId="0" applyNumberFormat="1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9" fillId="3" borderId="0" xfId="0" applyFont="1" applyFill="1" applyAlignment="1" applyProtection="1">
      <alignment horizontal="center" vertical="top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3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right" vertical="center"/>
      <protection/>
    </xf>
    <xf numFmtId="0" fontId="14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1" fillId="4" borderId="0" xfId="0" applyNumberFormat="1" applyFont="1" applyFill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174" fontId="0" fillId="4" borderId="0" xfId="0" applyNumberFormat="1" applyFont="1" applyFill="1" applyAlignment="1" applyProtection="1">
      <alignment horizontal="right"/>
      <protection/>
    </xf>
    <xf numFmtId="173" fontId="0" fillId="4" borderId="0" xfId="0" applyNumberFormat="1" applyFill="1" applyAlignment="1" applyProtection="1">
      <alignment horizontal="right"/>
      <protection/>
    </xf>
    <xf numFmtId="176" fontId="0" fillId="4" borderId="0" xfId="0" applyNumberFormat="1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center"/>
      <protection/>
    </xf>
    <xf numFmtId="173" fontId="0" fillId="4" borderId="0" xfId="0" applyNumberFormat="1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15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vertical="center"/>
    </xf>
    <xf numFmtId="174" fontId="4" fillId="2" borderId="0" xfId="0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78" fontId="18" fillId="2" borderId="0" xfId="0" applyNumberFormat="1" applyFont="1" applyFill="1" applyBorder="1" applyAlignment="1">
      <alignment horizontal="center" vertical="center"/>
    </xf>
    <xf numFmtId="13" fontId="4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8" fillId="3" borderId="0" xfId="0" applyFont="1" applyFill="1" applyAlignment="1" applyProtection="1">
      <alignment horizontal="left" vertical="center"/>
      <protection/>
    </xf>
    <xf numFmtId="17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13" fontId="0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173" fontId="14" fillId="3" borderId="0" xfId="0" applyNumberFormat="1" applyFont="1" applyFill="1" applyAlignment="1" applyProtection="1">
      <alignment horizontal="right" vertical="center"/>
      <protection/>
    </xf>
    <xf numFmtId="173" fontId="14" fillId="3" borderId="0" xfId="0" applyNumberFormat="1" applyFont="1" applyFill="1" applyAlignment="1" applyProtection="1">
      <alignment/>
      <protection/>
    </xf>
    <xf numFmtId="174" fontId="14" fillId="3" borderId="0" xfId="0" applyNumberFormat="1" applyFont="1" applyFill="1" applyAlignment="1" applyProtection="1">
      <alignment horizontal="right" vertical="center"/>
      <protection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right" vertical="center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/>
      <protection/>
    </xf>
    <xf numFmtId="173" fontId="0" fillId="3" borderId="2" xfId="0" applyNumberFormat="1" applyFill="1" applyBorder="1" applyAlignment="1" applyProtection="1">
      <alignment/>
      <protection/>
    </xf>
    <xf numFmtId="173" fontId="14" fillId="3" borderId="0" xfId="0" applyNumberFormat="1" applyFont="1" applyFill="1" applyBorder="1" applyAlignment="1" applyProtection="1">
      <alignment/>
      <protection/>
    </xf>
    <xf numFmtId="173" fontId="0" fillId="3" borderId="0" xfId="0" applyNumberForma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 horizontal="right" vertical="center"/>
      <protection/>
    </xf>
    <xf numFmtId="173" fontId="0" fillId="3" borderId="3" xfId="0" applyNumberForma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173" fontId="14" fillId="3" borderId="0" xfId="0" applyNumberFormat="1" applyFont="1" applyFill="1" applyBorder="1" applyAlignment="1" applyProtection="1">
      <alignment/>
      <protection/>
    </xf>
    <xf numFmtId="173" fontId="0" fillId="3" borderId="0" xfId="0" applyNumberFormat="1" applyFill="1" applyAlignment="1" applyProtection="1">
      <alignment/>
      <protection/>
    </xf>
    <xf numFmtId="174" fontId="0" fillId="3" borderId="0" xfId="0" applyNumberForma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15" fillId="2" borderId="0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right" vertical="center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left" vertical="center" indent="1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right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2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85725</xdr:rowOff>
    </xdr:from>
    <xdr:to>
      <xdr:col>7</xdr:col>
      <xdr:colOff>504825</xdr:colOff>
      <xdr:row>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4429125" y="1476375"/>
          <a:ext cx="371475" cy="161925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76200</xdr:rowOff>
    </xdr:from>
    <xdr:to>
      <xdr:col>7</xdr:col>
      <xdr:colOff>514350</xdr:colOff>
      <xdr:row>19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4438650" y="3133725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28</xdr:row>
      <xdr:rowOff>76200</xdr:rowOff>
    </xdr:from>
    <xdr:to>
      <xdr:col>7</xdr:col>
      <xdr:colOff>514350</xdr:colOff>
      <xdr:row>29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4438650" y="4752975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85725</xdr:rowOff>
    </xdr:from>
    <xdr:to>
      <xdr:col>7</xdr:col>
      <xdr:colOff>514350</xdr:colOff>
      <xdr:row>14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4438650" y="2314575"/>
          <a:ext cx="371475" cy="161925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33</xdr:row>
      <xdr:rowOff>0</xdr:rowOff>
    </xdr:from>
    <xdr:to>
      <xdr:col>1</xdr:col>
      <xdr:colOff>514350</xdr:colOff>
      <xdr:row>34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752475" y="5343525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33</xdr:row>
      <xdr:rowOff>0</xdr:rowOff>
    </xdr:from>
    <xdr:to>
      <xdr:col>4</xdr:col>
      <xdr:colOff>514350</xdr:colOff>
      <xdr:row>34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609850" y="5343525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33</xdr:row>
      <xdr:rowOff>0</xdr:rowOff>
    </xdr:from>
    <xdr:to>
      <xdr:col>7</xdr:col>
      <xdr:colOff>514350</xdr:colOff>
      <xdr:row>34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4438650" y="5343525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36</xdr:row>
      <xdr:rowOff>0</xdr:rowOff>
    </xdr:from>
    <xdr:to>
      <xdr:col>7</xdr:col>
      <xdr:colOff>514350</xdr:colOff>
      <xdr:row>37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4438650" y="5753100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9525</xdr:rowOff>
    </xdr:from>
    <xdr:to>
      <xdr:col>7</xdr:col>
      <xdr:colOff>523875</xdr:colOff>
      <xdr:row>12</xdr:row>
      <xdr:rowOff>9525</xdr:rowOff>
    </xdr:to>
    <xdr:sp>
      <xdr:nvSpPr>
        <xdr:cNvPr id="9" name="AutoShape 39"/>
        <xdr:cNvSpPr>
          <a:spLocks/>
        </xdr:cNvSpPr>
      </xdr:nvSpPr>
      <xdr:spPr>
        <a:xfrm>
          <a:off x="4448175" y="1895475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76200</xdr:rowOff>
    </xdr:from>
    <xdr:to>
      <xdr:col>7</xdr:col>
      <xdr:colOff>514350</xdr:colOff>
      <xdr:row>22</xdr:row>
      <xdr:rowOff>85725</xdr:rowOff>
    </xdr:to>
    <xdr:sp>
      <xdr:nvSpPr>
        <xdr:cNvPr id="10" name="AutoShape 40"/>
        <xdr:cNvSpPr>
          <a:spLocks/>
        </xdr:cNvSpPr>
      </xdr:nvSpPr>
      <xdr:spPr>
        <a:xfrm>
          <a:off x="4438650" y="3676650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28</xdr:row>
      <xdr:rowOff>0</xdr:rowOff>
    </xdr:from>
    <xdr:to>
      <xdr:col>7</xdr:col>
      <xdr:colOff>533400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29125" y="4629150"/>
          <a:ext cx="371475" cy="171450"/>
        </a:xfrm>
        <a:prstGeom prst="rightArrow">
          <a:avLst>
            <a:gd name="adj1" fmla="val 8972"/>
            <a:gd name="adj2" fmla="val -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1">
      <selection activeCell="C34" sqref="C34"/>
    </sheetView>
  </sheetViews>
  <sheetFormatPr defaultColWidth="9.140625" defaultRowHeight="12.75"/>
  <cols>
    <col min="1" max="2" width="9.140625" style="14" customWidth="1"/>
    <col min="3" max="3" width="9.57421875" style="14" bestFit="1" customWidth="1"/>
    <col min="4" max="16384" width="9.140625" style="14" customWidth="1"/>
  </cols>
  <sheetData>
    <row r="1" spans="1:18" ht="15.75">
      <c r="A1" s="28"/>
      <c r="B1" s="28"/>
      <c r="C1" s="28"/>
      <c r="D1" s="28"/>
      <c r="E1" s="29" t="s">
        <v>0</v>
      </c>
      <c r="F1" s="29"/>
      <c r="G1" s="29"/>
      <c r="H1" s="29"/>
      <c r="I1" s="29"/>
      <c r="J1" s="12">
        <f>ROUND((IF(C46&lt;=2,0.002,IF(C46&gt;=10,0.01,(C46*0.001)))),4)</f>
        <v>0.002</v>
      </c>
      <c r="K1" s="12">
        <f>ROUND(((C43+1)/C44),4)</f>
        <v>0.875</v>
      </c>
      <c r="L1" s="12">
        <f>ROUND(((C43+1.8)/C44),4)</f>
        <v>0.9</v>
      </c>
      <c r="M1" s="12">
        <f>ROUND(((C43+0.8)/C44)-0.004+(2*J1),4)</f>
        <v>0.8688</v>
      </c>
      <c r="N1" s="12">
        <f>ROUND(((C43+1)/C44)+(2*J1),4)</f>
        <v>0.879</v>
      </c>
      <c r="O1" s="13" t="str">
        <f>IF(AND(I14=2,C44&gt;=6,C43=35),14,IF(AND(I14=2,C44&gt;=6,C43=36),14.2,IF(AND(I14=2,C44&gt;=6,C43=37),14.4,IF(AND(I14=2,C44&gt;=6,C43=38),14.6,IF(AND(I14=2,C44&gt;=6,C43=39),14.8,IF(AND(I14=2,C44&gt;=6,C43=40),15,IF(AND(I14=2,C44&gt;=6,C43=41),15.2,N16)))))))</f>
        <v>N/A</v>
      </c>
      <c r="P1" s="12" t="str">
        <f>IF(AND(I14=2,C44=3,C43=41),23.2,IF(AND(I14=2,C44=3,C43=42),23.4,IF(AND(I14=2,C44=3,C43=43),23.6,IF(AND(I14=2,C44=3,C43=44),23.8,IF(AND(I14=2,C44=3,C43&gt;=45,C43&lt;=50),24,IF(AND(I14=2,C44&gt;=4,C44&lt;=5,C43=6),11,IF(AND(I14=2,C44&gt;=4,C44&lt;=5,C43=7),11.5,O9)))))))</f>
        <v>N/A</v>
      </c>
      <c r="Q1" s="12" t="str">
        <f>IF(AND(I14=2,C44=2.5,C43=27),21.2,IF(AND(I14=2,C44=2.5,C43=28),21.8,IF(AND(I14=2,C44=2.5,C43=29),22.4,IF(AND(I14=2,C44=2.5,C43&gt;=30,C43&lt;=45),23,IF(AND(I14=2,C44=2.5,C43=46),23.2,IF(AND(I14=2,C44=2.5,C43=47),23.4,IF(AND(I14=2,C44=2.5,C43=48),23.6,P9)))))))</f>
        <v>N/A</v>
      </c>
      <c r="R1" s="12">
        <f>IF(AND(I14=1,C44&gt;=6,C43=18),11.5,IF(AND(I14=1,C44&gt;=6,C43=19),11.75,IF(AND(I14=1,C44&gt;=6,C43&gt;=20,C43&lt;=25),12,IF(AND(I14=1,C44&gt;=6,C43=26),12.4,IF(AND(I14=1,C44&gt;=6,C43=27),12.8,IF(AND(I14=1,C44&gt;=6,C43=28),13.2,IF(AND(I14=1,C44&gt;=6,C43=29),13.6,Q6)))))))</f>
        <v>12.8</v>
      </c>
    </row>
    <row r="2" spans="1:18" ht="12.75">
      <c r="A2" s="28"/>
      <c r="B2" s="28"/>
      <c r="C2" s="28"/>
      <c r="D2" s="28"/>
      <c r="E2" s="30" t="s">
        <v>1</v>
      </c>
      <c r="F2" s="30"/>
      <c r="G2" s="30"/>
      <c r="H2" s="30"/>
      <c r="I2" s="30"/>
      <c r="J2" s="12">
        <f>IF(AND(I19&lt;&gt;2,M2&gt;L2,M2&gt;K2),M2,IF(AND(I19=2,N2&gt;L2,N2&gt;K2),N2,IF(AND(I19&lt;&gt;2,M2&lt;L2),L2,IF(AND(I19=2,N2&lt;L2),L2,K2))))</f>
        <v>0.8085</v>
      </c>
      <c r="K2" s="12">
        <f>ROUND(((C43-1)/C44)-(2*J1),4)</f>
        <v>0.8085</v>
      </c>
      <c r="L2" s="12">
        <f>ROUND((IF(C44&lt;21,C47+0.01,IF(C44&gt;23,C47+0.006))),4)</f>
        <v>0.7367</v>
      </c>
      <c r="M2" s="12">
        <f>ROUND((SQRT((3*(C43^2))+((C43-(0.016*C44)-4.5)^2)))/(2*C44),4)</f>
        <v>0.8074</v>
      </c>
      <c r="N2" s="12">
        <f>ROUND(((SQRT((3*(C43^2))+((C43-5.359)^2)))/(2*C44)),4)</f>
        <v>0.8052</v>
      </c>
      <c r="O2" s="13" t="str">
        <f>IF(AND(I14=2,C44&gt;=6,C43=28),12.6,IF(AND(I14=2,C44&gt;=6,C43=29),12.8,IF(AND(I14=2,C44&gt;=6,C43=30),13,IF(AND(I14=2,C44&gt;=6,C43=31),13.2,IF(AND(I14=2,C44&gt;=6,C43=32),13.4,IF(AND(I14=2,C44&gt;=6,C43=33),13.6,IF(AND(I14=2,C44&gt;=6,C43=34),13.8,O1)))))))</f>
        <v>N/A</v>
      </c>
      <c r="P2" s="12" t="str">
        <f>IF(AND(I14=2,C44=3,C43=34),21.6,IF(AND(I14=2,C44=3,C43=35),22,IF(AND(I14=2,C44=3,C43=36),22.2,IF(AND(I14=2,C44=3,C43=37),22.4,IF(AND(I14=2,C44=3,C43=38),22.6,IF(AND(I14=2,C44=3,C43=39),22.8,IF(AND(I14=2,C44=3,C43=40),23,P1)))))))</f>
        <v>N/A</v>
      </c>
      <c r="Q2" s="12" t="str">
        <f>IF(AND(I14=2,C44=2.5,C43=20),18,IF(AND(I14=2,C44=2.5,C43=21),18.4,IF(AND(I14=2,C44=2.5,C43=22),18.8,IF(AND(I14=2,C44=2.5,C43=23),19.2,IF(AND(I14=2,C44=2.5,C43=24),19.6,IF(AND(I14=2,C44=2.5,C43=25),20,IF(AND(I14=2,C44=2.5,C43=26),20.6,Q1)))))))</f>
        <v>N/A</v>
      </c>
      <c r="R2" s="12">
        <f>IF(AND(I14=1,C44&gt;=6,C43=7),8.5,IF(AND(I14=1,C44&gt;=6,C43=8),9,IF(AND(I14=1,C44&gt;=6,C43=9),9.5,IF(AND(I14=1,C44&gt;=6,C43&gt;=10,C43&lt;=14),10,IF(AND(I14=1,C44&gt;=6,C43=15),10.5,IF(AND(I14=1,C44&gt;=6,C43=16),11,IF(AND(I14=1,C44&gt;=6,C43=17),11.25,R1)))))))</f>
        <v>12.8</v>
      </c>
    </row>
    <row r="3" spans="1:18" ht="12.75">
      <c r="A3" s="28"/>
      <c r="B3" s="28"/>
      <c r="C3" s="28"/>
      <c r="D3" s="28"/>
      <c r="E3" s="30" t="s">
        <v>2</v>
      </c>
      <c r="F3" s="30"/>
      <c r="G3" s="30"/>
      <c r="H3" s="30"/>
      <c r="I3" s="30"/>
      <c r="J3" s="12">
        <f>J2+(2*J1)</f>
        <v>0.8125</v>
      </c>
      <c r="K3" s="12">
        <f>ROUND((IF(I19=1,(((C43+0.8)/C44)-0.004),IF(I19=2,((C43+1)/C44),IF(I19=3,(((C43+1)/C44)-0.0001))))),4)</f>
        <v>0.875</v>
      </c>
      <c r="L3" s="12">
        <f>ROUND((IF(AND(I19=2,F34&lt;13),((C43-1.8)/C44),IF(AND(I19=2,F34&gt;15),((C43-2)/C44),(((C43-1.2)/C44)-0.004)))),4)</f>
        <v>0.7813</v>
      </c>
      <c r="M3" s="12">
        <f>IF(F34&gt;47,L3-0.007,IF(F34&gt;31,L3-0.008,IF(F34&gt;23,L3-0.009,IF(F34&gt;19,L3-0.01,IF(F34&gt;15,L3-0.011,IF(F34&gt;11,L3-0.013,IF(F34&gt;9,L3-0.015,N3)))))))</f>
        <v>0.7733</v>
      </c>
      <c r="N3" s="12">
        <f>IF(F34=8,L3-0.018,IF(F34=6,L3-0.022,IF(F34=5,L3-0.025,IF(F34=4,L3-0.03,IF(F34=3,L3-0.038,L3-0.045)))))</f>
        <v>0.7363</v>
      </c>
      <c r="O3" s="13" t="str">
        <f>IF(AND(I14=2,C44&gt;=6,C43=21),11.2,IF(AND(I14=2,C44&gt;=6,C43=22),11.4,IF(AND(I14=2,C44&gt;=6,C43=23),11.6,IF(AND(I14=2,C44&gt;=6,C43=24),11.8,IF(AND(I14=2,C44&gt;=6,C43=25),12,IF(AND(I14=2,C44&gt;=6,C43=26),12.2,IF(AND(I14=2,C44&gt;=6,C43=27),12.4,O2)))))))</f>
        <v>N/A</v>
      </c>
      <c r="P3" s="12" t="str">
        <f>IF(AND(I14=2,C44=3,C43=27),19.4,IF(AND(I14=2,C44=3,C43=28),19.6,IF(AND(I14=2,C44=3,C43=29),19.8,IF(AND(I14=2,C44=3,C43=30),20,IF(AND(I14=2,C44=3,C43=31),20.4,IF(AND(I14=2,C44=3,C43=32),20.8,IF(AND(I14=2,C44=3,C43=33),21.2,P2)))))))</f>
        <v>N/A</v>
      </c>
      <c r="Q3" s="12" t="str">
        <f>IF(AND(I14=2,C44=2.5,C43=13),15.5,IF(AND(I14=2,C44=2.5,C43=14),16,IF(AND(I14=2,C44=2.5,C43=15),16.5,IF(AND(I14=2,C44=2.5,C43=16),17,IF(AND(I14=2,C44=2.5,C43=17),17.25,IF(AND(I14=2,C44=2.5,C43=18),17.5,IF(AND(I14=2,C44=2.5,C43=19),17.75,Q2)))))))</f>
        <v>N/A</v>
      </c>
      <c r="R3" s="12">
        <f>IF(AND(I14=1,C44&gt;=4,C44&lt;=5,C43=45),20,IF(AND(I14=1,C44&gt;=4,C44&lt;=5,C43=46),20.2,IF(AND(I14=1,C44&gt;=4,C44&lt;=5,C43=47),20.4,IF(AND(I14=1,C44&gt;=4,C44&lt;=5,C43=48),20.6,IF(AND(I14=1,C44&gt;=4,C44&lt;=5,C43=49),20.8,IF(AND(I14=1,C44&gt;=4,C44&lt;=5,C43=50),21,IF(AND(I14=1,C44&gt;=6,C43=6),8,R2)))))))</f>
        <v>12.8</v>
      </c>
    </row>
    <row r="4" spans="1:18" ht="12.75">
      <c r="A4" s="28"/>
      <c r="B4" s="28"/>
      <c r="C4" s="28"/>
      <c r="D4" s="28"/>
      <c r="E4" s="30" t="s">
        <v>3</v>
      </c>
      <c r="F4" s="30"/>
      <c r="G4" s="30"/>
      <c r="H4" s="30"/>
      <c r="I4" s="30"/>
      <c r="J4" s="12">
        <f>IF(AND(I19=1,F34=48),K1+0.007,IF(AND(I19=1,F34&gt;31),K1+0.008,IF(AND(I19=1,F34=24),K1+0.009,IF(AND(I19=1,F34=20),K1+0.01,IF(AND(I19=1,F34=16),K1+0.011,IF(AND(I19=1,F34=12),K1+0.013,IF(AND(I19=1,F34=10),K1+0.015,K4)))))))</f>
        <v>0.908</v>
      </c>
      <c r="K4" s="12">
        <f>IF(AND(I19=1,F34=8),K1+0.018,IF(AND(I19=1,F34=6),K1+0.022,IF(AND(I19=1,F34=5),K1+0.025,IF(AND(I19=1,F34=4),K1+0.03,IF(AND(I19=1,F34=3),K1+0.038,IF(AND(I19=1,F34=2.5),K1+0.045,IF(AND(I19=2,F34=48),L1+0.007,L4)))))))</f>
        <v>0.908</v>
      </c>
      <c r="L4" s="12">
        <f>IF(AND(I19=2,F34&gt;31),L1+0.008,IF(AND(I19=2,F34=24),L1+0.009,IF(AND(I19=2,F34=20),L1+0.01,IF(AND(I19=2,F34=16),L1+0.011,IF(AND(I19=2,F34=12),L1+0.013,IF(AND(I19=2,F34=10),L1+0.015,IF(AND(I19=2,F34=8),L1+0.018,M4)))))))</f>
        <v>0.908</v>
      </c>
      <c r="M4" s="12">
        <f>IF(AND(I19=2,F34=6),L1+0.022,IF(AND(I19=2,F34=5),L1+0.025,IF(AND(I19=2,F34=4),L1+0.03,IF(AND(I19=2,F34=3),L1+0.038,IF(AND(I19=2,F34=2.5),L1+0.045,(K1+((10+(3*C46))*0.0001)))))))</f>
        <v>0.876253125</v>
      </c>
      <c r="N4" s="12">
        <f>IF(F34=2.5,J3+0.02,IF(F34=3,J3+0.015,IF(F34=4,J3+0.01,IF(F34=5,J3+0.008,IF(AND(F34&gt;5,F34&lt;32),J3+0.005,J3+0.003)))))</f>
        <v>0.8155</v>
      </c>
      <c r="O4" s="12" t="str">
        <f>IF(AND(I14=2,C44&gt;=4,C44&lt;=5,C43=49),21.8,IF(AND(I14=2,C44&gt;=4,C44&lt;=5,C43=50),22,IF(AND(I14=2,C44&gt;=6,C43&gt;=6,C43&lt;=8),9,IF(AND(I14=2,C44&gt;=6,C43=9),9.5,IF(AND(I14=2,C44&gt;=6,C43&gt;=10,C43&lt;=14),10,IF(AND(I14=2,C44&gt;=6,C43=15),10.5,IF(AND(I14=2,C44&gt;=6,C43&gt;=16,C43&lt;=20),11,O3)))))))</f>
        <v>N/A</v>
      </c>
      <c r="P4" s="12" t="str">
        <f>IF(AND(I14=2,C44=3,C43=20),17,IF(AND(I14=2,C44=3,C43=21),17.4,IF(AND(I14=2,C44=3,C43=22),17.8,IF(AND(I14=2,C44=3,C43=23),18.2,IF(AND(I14=2,C44=3,C43=24),18.6,IF(AND(I14=2,C44=3,C43=25),19,IF(AND(I14=2,C44=3,C43=26),19.2,P3)))))))</f>
        <v>N/A</v>
      </c>
      <c r="Q4" s="12" t="str">
        <f>IF(AND(I14=1,C44&gt;=6,C43=49),16.8,IF(AND(I14=1,C44&gt;=6,C43=50),17,IF(AND(I14=2,C44=2.5,C43&gt;=6,C43&lt;=8),13,IF(AND(I14=2,C44=2.5,C43=9),13.5,IF(AND(I14=2,C44=2.5,C43=10),14,IF(AND(I14=2,C44=2.5,C43=11),14.5,IF(AND(I14=2,C44=2.5,C43=12),15,Q3)))))))</f>
        <v>N/A</v>
      </c>
      <c r="R4" s="12">
        <f>IF(AND(I14=1,C44&gt;=4,C44&lt;=5,C43=38),18.6,IF(AND(I14=1,C44&gt;=4,C44&lt;=5,C43=39),18.8,IF(AND(I14=1,C44&gt;=4,C44&lt;=5,C43=40),19,IF(AND(I14=1,C44&gt;=4,C44&lt;=5,C43=41),19.2,IF(AND(I14=1,C44&gt;=4,C44&lt;=5,C43=42),19.4,IF(AND(I14=1,C44&gt;=4,C44&lt;=5,C43=43),19.6,IF(AND(I14=1,C44&gt;=4,C44&lt;=5,C43=44),19.8,R3)))))))</f>
        <v>12.8</v>
      </c>
    </row>
    <row r="5" spans="1:18" ht="12.75">
      <c r="A5" s="30"/>
      <c r="B5" s="30"/>
      <c r="C5" s="30"/>
      <c r="D5" s="30"/>
      <c r="E5" s="30"/>
      <c r="F5" s="28"/>
      <c r="G5" s="28"/>
      <c r="H5" s="28"/>
      <c r="I5" s="28"/>
      <c r="J5" s="12">
        <f>IF(AND(I19&lt;&gt;3,F34=2.5),K3-0.02,IF(AND(I19&lt;&gt;3,F34=3),K3-0.015,IF(AND(I19&lt;&gt;3,F34=4),K3-0.01,IF(AND(I19&lt;&gt;3,F34=5),K3-0.008,IF(AND(I19&lt;&gt;3,F34&gt;=6,F34&lt;32),K3-0.005,IF(AND(I19&lt;&gt;3,F34&gt;=32),K3-0.003,IF(AND(I19=3,((3+(2*C46))*0.0001)&lt;0.0005),K3-0.0005,K3-((3+(2*C46))*0.0001))))))))</f>
        <v>0.872</v>
      </c>
      <c r="K5" s="12">
        <f>ROUND((IF(AND(I29=1,F34&lt;=3),J57-(((0.2*C34)+18)*0.0001),IF(AND(I29=1,F34&lt;=5),J57-(((0.15*C34)+16)*0.0001),IF(AND(I29=1,F34&lt;=8),J57-(((0.1*C34)+14)*0.0001),IF(AND(I29=1,F34&lt;=12),J57-(((0.07*C34)+14)*0.0001),IF(AND(I29=1,F34&lt;=48),J57-0.0015)))))),4)</f>
        <v>0</v>
      </c>
      <c r="L5" s="12">
        <f>ROUND((IF(F34&gt;=16,(((0.07*C34)+11)*0.0001),IF(F34&gt;=10,(((0.1*C34)+11)*0.0001),IF(F34&gt;=6,(((0.15*C34)+11)*0.0001),IF(F34&gt;=4,(((0.15*C34)+13)*0.0001),IF(F34&gt;=2.5,(((0.18*C34)+14)*0.0001))))))),4)</f>
        <v>0.0013</v>
      </c>
      <c r="M5" s="12">
        <f>ROUND((IF(F34&gt;=24,(((0.12*C34)+11)*0.0001),IF(F34&gt;=16,(((0.12*C34)+13)*0.0001),IF(F34&gt;=10,(((0.17*C34)+14)*0.0001),IF(F34&gt;=6,(((0.2*C34)+15)*0.0001),IF(F34&gt;=4,(((0.23*C34)+18)*0.0001),IF(F34&gt;=2.5,(((0.35*C34)+20)*0.0001)))))))),4)</f>
        <v>0.0014</v>
      </c>
      <c r="N5" s="12">
        <f>ROUND(((C34+1.4)/F34),4)</f>
        <v>0.8875</v>
      </c>
      <c r="O5" s="12" t="str">
        <f>IF(AND(I14=2,C44&gt;=4,C44&lt;=5,C43=42),20.4,IF(AND(I14=2,C44&gt;=4,C44&lt;=5,C43=43),20.6,IF(AND(I14=2,C44&gt;=4,C44&lt;=5,C43=44),20.8,IF(AND(I14=2,C44&gt;=4,C44&lt;=5,C43=45),21,IF(AND(I14=2,C44&gt;=4,C44&lt;=5,C43=46),21.2,IF(AND(I14=2,C44&gt;=4,C44&lt;=5,C43=47),21.4,IF(AND(I14=2,C44&gt;=4,C44&lt;=5,C43=48),21.6,O4)))))))</f>
        <v>N/A</v>
      </c>
      <c r="P5" s="12" t="str">
        <f>IF(AND(I14=2,C44=3,C43=11),13.5,IF(AND(I14=2,C44=3,C43&gt;=12,C43&lt;=14),14,IF(AND(I14=2,C44=3,C43=15),14.5,IF(AND(I14=2,C44=3,C43=16),15,IF(AND(I14=2,C44=3,C43=17),15.5,IF(AND(I14=2,C44=3,C43=18),16,IF(AND(I14=2,C44=3,C43=19),16.5,P4)))))))</f>
        <v>N/A</v>
      </c>
      <c r="Q5" s="12" t="str">
        <f>IF(AND(I14=1,C44&gt;=6,C43=42),15.4,IF(AND(I14=1,C44&gt;=6,C43=43),15.6,IF(AND(I14=1,C44&gt;=6,C43=44),15.8,IF(AND(I14=1,C44&gt;=6,C43=45),16,IF(AND(I14=1,C44&gt;=6,C43=46),16.2,IF(AND(I14=1,C44&gt;=6,C43=47),16.4,IF(AND(I14=1,C44&gt;=6,C43=48),16.8,Q4)))))))</f>
        <v>N/A</v>
      </c>
      <c r="R5" s="12">
        <f>IF(AND(I14=1,C44&gt;=4,C44&lt;=5,C43=31),16.4,IF(AND(I14=1,C44&gt;=4,C44&lt;=5,C43=32),16.8,IF(AND(I14=1,C44&gt;=4,C44&lt;=5,C43=33),17.2,IF(AND(I14=1,C44&gt;=4,C44&lt;=5,C43=34),17.6,IF(AND(I14=1,C44&gt;=4,C44&lt;=5,C43=35),18,IF(AND(I14=1,C44&gt;=4,C44&lt;=5,C43=36),18.2,IF(AND(I14=1,C44&gt;=4,C44&lt;=5,C43=37),18.4,R4)))))))</f>
        <v>12.8</v>
      </c>
    </row>
    <row r="6" spans="1:18" ht="15.75">
      <c r="A6" s="128" t="s">
        <v>102</v>
      </c>
      <c r="B6" s="128"/>
      <c r="C6" s="128"/>
      <c r="D6" s="128"/>
      <c r="E6" s="128"/>
      <c r="F6" s="128"/>
      <c r="G6" s="128"/>
      <c r="H6" s="128"/>
      <c r="I6" s="128"/>
      <c r="J6" s="12">
        <f>L7+(2*J8)</f>
        <v>0.8766</v>
      </c>
      <c r="K6" s="12">
        <f>ROUND(((C34-0.6)/F34),4)</f>
        <v>0.825</v>
      </c>
      <c r="L6" s="12">
        <f>N6+K8+L8</f>
        <v>0.058</v>
      </c>
      <c r="M6" s="12">
        <f>N6+K8</f>
        <v>0.056600000000000004</v>
      </c>
      <c r="N6" s="12">
        <f>ROUND((((0.5*PI())+0.2)/F34),4)</f>
        <v>0.0553</v>
      </c>
      <c r="O6" s="12" t="str">
        <f>IF(AND(I14=2,C44&gt;=4,C44&lt;=5,C43=35),18,IF(AND(I14=2,C44&gt;=4,C44&lt;=5,C43=36),18.4,IF(AND(I14=2,C44&gt;=4,C44&lt;=5,C43=37),18.8,IF(AND(I14=2,C44&gt;=4,C44&lt;=5,C43=38),19.2,IF(AND(I14=2,C44&gt;=4,C44&lt;=5,C43=39),19.6,IF(AND(I14=2,C44&gt;=4,C44&lt;=5,C43=40),20,IF(AND(I14=2,C44&gt;=4,C44&lt;=5,C43=41),20.2,O5)))))))</f>
        <v>N/A</v>
      </c>
      <c r="P6" s="12" t="str">
        <f>IF(AND(I14=2,C44=1,C43=42),25.4,IF(AND(I14=2,C44=1,C43=43),25.6,IF(AND(I14=2,C44=1,C43=44),25.8,IF(AND(I14=2,C44=1,C43&gt;=45,C43&lt;=50),26,IF(AND(I14=2,C44=3,C43=6),12,IF(AND(I14=2,C44=3,C43=7),12.5,IF(AND(I14=2,C44=3,C43&gt;=8,C43&lt;=10),13,P5)))))))</f>
        <v>N/A</v>
      </c>
      <c r="Q6" s="12" t="str">
        <f>IF(AND(I14=1,C44&gt;=6,C43&gt;=30,C43&lt;=35),14,IF(AND(I14=1,C44&gt;=6,C43=36),14.2,IF(AND(I14=1,C44&gt;=6,C43=37),14.4,IF(AND(I14=1,C44&gt;=6,C43=38),14.6,IF(AND(I14=1,C44&gt;=6,C43=39),14.8,IF(AND(I14=1,C44&gt;=6,C43=40),15,IF(AND(I14=1,C44&gt;=6,C43=41),15.2,Q5)))))))</f>
        <v>N/A</v>
      </c>
      <c r="R6" s="12">
        <f>IF(AND(I14=1,C44&gt;=4,C44&lt;=5,C43=24),14.8,IF(AND(I14=1,C44&gt;=4,C44&lt;=5,C43=25),15,IF(AND(I14=1,C44&gt;=4,C44&lt;=5,C43=26),15.2,IF(AND(I14=1,C44&gt;=4,C44&lt;=5,C43=27),15.4,IF(AND(I14=1,C44&gt;=4,C44&lt;=5,C43=28),15.6,IF(AND(I14=1,C44&gt;=4,C44&lt;=5,C43=29),15.8,IF(AND(I14=1,C44&gt;=4,C44&lt;=5,C43=30),16,R5)))))))</f>
        <v>12.8</v>
      </c>
    </row>
    <row r="7" spans="1:18" ht="13.5" thickBot="1">
      <c r="A7" s="129" t="s">
        <v>128</v>
      </c>
      <c r="B7" s="130"/>
      <c r="C7" s="130"/>
      <c r="D7" s="130"/>
      <c r="E7" s="130"/>
      <c r="F7" s="130"/>
      <c r="G7" s="130"/>
      <c r="H7" s="130"/>
      <c r="I7" s="130"/>
      <c r="J7" s="12">
        <f>N6-K8</f>
        <v>0.054</v>
      </c>
      <c r="K7" s="12">
        <f>N6-K8-L8</f>
        <v>0.0526</v>
      </c>
      <c r="L7" s="12">
        <f>ROUND(((C34+1)/F34),4)</f>
        <v>0.875</v>
      </c>
      <c r="M7" s="12">
        <f>K6-(2*J8)</f>
        <v>0.8233999999999999</v>
      </c>
      <c r="N7" s="12">
        <f>((C34-1)/F34)</f>
        <v>0.8125</v>
      </c>
      <c r="O7" s="12" t="str">
        <f>IF(AND(I14=2,C44&gt;=4,C44&lt;=5,C43=28),16.6,IF(AND(I14=2,C44&gt;=4,C44&lt;=5,C43=29),16.8,IF(AND(I14=2,C44&gt;=4,C44&lt;=5,C43=30),17,IF(AND(I14=2,C44&gt;=4,C44&lt;=5,C43=31),17.2,IF(AND(I14=2,C44&gt;=4,C44&lt;=5,C43=32),17.4,IF(AND(I14=2,C44&gt;=4,C44&lt;=5,C43=33),17.6,IF(AND(I14=2,C44&gt;=4,C44&lt;=5,C43=34),17.8,O6)))))))</f>
        <v>N/A</v>
      </c>
      <c r="P7" s="12" t="str">
        <f>IF(AND(I14=2,C44=1,C43&gt;=20,C43&lt;=30),24,IF(AND(I14=2,C44=1,C43=31),24.2,IF(AND(I14=2,C44=1,C43=32),24.4,IF(AND(I14=2,C44=1,C43=33),24.6,IF(AND(I14=2,C44=1,C43=34),24.8,IF(AND(I14=2,C44=1,C43&gt;=35,C43&lt;=40),25,IF(AND(I14=2,C44=1,C43=41),25.2,P6)))))))</f>
        <v>N/A</v>
      </c>
      <c r="Q7" s="12">
        <f>IF(AND(C44=2.5,C43=47),23.4,IF(AND(C44=2.5,C43=48),23.6,IF(AND(C44=2.5,C43=49),23.8,IF(AND(C44=2.5,C43=50),24,IF(AND(C44=3,C43&gt;=6,C43&lt;=35),18,IF(AND(C44=3,C43=36),18.2,IF(AND(C44=3,C43=37),18.4,Q8)))))))</f>
        <v>15</v>
      </c>
      <c r="R7" s="12">
        <f>IF(AND(I14=1,C44&gt;=4,C44&lt;=5,C43=17),13.25,IF(AND(I14=1,C44&gt;=4,C44&lt;=5,C43=18),13.5,IF(AND(I14=1,C44&gt;=4,C44&lt;=5,C43=19),13.75,IF(AND(I14=1,C44&gt;=4,C44&lt;=5,C43=20),14,IF(AND(I14=1,C44&gt;=4,C44&lt;=5,C43=21),14.2,IF(AND(I14=1,C44&gt;=4,C44&lt;=5,C43=22),14.4,IF(AND(I14=1,C44&gt;=4,C44&lt;=5,C43=23),14.6,R6)))))))</f>
        <v>12.8</v>
      </c>
    </row>
    <row r="8" spans="1:18" ht="13.5" thickBot="1">
      <c r="A8" s="120" t="s">
        <v>49</v>
      </c>
      <c r="B8" s="121"/>
      <c r="C8" s="121"/>
      <c r="D8" s="121"/>
      <c r="E8" s="121"/>
      <c r="F8" s="121"/>
      <c r="G8" s="121"/>
      <c r="H8" s="121"/>
      <c r="I8" s="121"/>
      <c r="J8" s="12">
        <f>ROUND((IF(((0.001*C46)&gt;0.01),0.01,(0.001*C46))),4)</f>
        <v>0.0008</v>
      </c>
      <c r="K8" s="12">
        <f>ROUND((IF(F34=128,(((0.05*C34)+9)*0.0001),IF(AND(F34&gt;=64,F34&lt;=80),(((0.06*C34)+9)*0.0001),IF(AND(F34&gt;=16,F34&lt;=48),(((0.07*C34)+11)*0.0001),(((0.1*C34)+11)*0.0001))))),4)</f>
        <v>0.0013</v>
      </c>
      <c r="L8" s="12">
        <f>ROUND((IF(F34=128,(((0.08*C34)+9)*0.0001),IF(AND(F34&gt;=64,F34&lt;=80),(((0.1*C34)+10)*0.0001),IF(AND(F34&gt;=24,F34&lt;=48),(((0.12*C34)+11)*0.0001),IF(F34=16,(((0.12*C34)+13)*0.0001),IF(F34=10,(((0.17*C34)+14)*0.0001))))))),4)</f>
        <v>0.0014</v>
      </c>
      <c r="M8" s="12">
        <f>IF(F34&gt;=64,N5+0.006,IF(F34=48,N5+0.007,IF(OR(F34=40,F34=32),N5+0.008,IF(F34=24,N5+0.009,IF(F34=16,N5+0.011,N5+0.015)))))</f>
        <v>0.8955</v>
      </c>
      <c r="N8" s="12">
        <f>IF(F34&gt;=64,K6+0.002,IF(OR(F34=48,F34=40,F34=32),K6+0.003,K6+0.005))</f>
        <v>0.828</v>
      </c>
      <c r="O8" s="12" t="str">
        <f>IF(AND(I14=2,C44&gt;=4,C44&lt;=5,C43=21),15.2,IF(AND(I14=2,C44&gt;=4,C44&lt;=5,C43=22),15.4,IF(AND(I14=2,C44&gt;=4,C44&lt;=5,C43=23),15.6,IF(AND(I14=2,C44&gt;=4,C44&lt;=5,C43=24),15.8,IF(AND(I14=2,C44&gt;=4,C44&lt;=5,C43=25),16,IF(AND(I14=2,C44&gt;=4,C44&lt;=5,C43=26),16.2,IF(AND(I14=2,C44&gt;=4,C44&lt;=5,C43=27),16.4,O7)))))))</f>
        <v>N/A</v>
      </c>
      <c r="P8" s="12" t="str">
        <f>IF(AND(I14=2,C44=1,C43=11),21.5,IF(AND(I14=2,C44=1,C43=12),22,IF(AND(I14=2,C44=1,C43=13),22.5,IF(AND(I14=2,C44=1,C43&gt;=14,C43&lt;=16),23,IF(AND(I14=2,C44=1,C43=17),23.25,IF(AND(I14=2,C44=1,C43=18),23.5,IF(AND(I14=2,C44=1,C43=19),23.75,P7)))))))</f>
        <v>N/A</v>
      </c>
      <c r="Q8" s="12">
        <f>IF(AND(C44=3,C43=38),18.6,IF(AND(C44=3,C43=39),18.8,IF(AND(C44=3,C43=40),19,IF(AND(C44=3,C43=41),19.2,IF(AND(C44=3,C43=42),19.4,IF(AND(C44=3,C43=43),19.6,IF(AND(C44=3,C43=44),19.8,Q9)))))))</f>
        <v>15</v>
      </c>
      <c r="R8" s="12">
        <f>IF(AND(I14=1,C44&gt;=4,C44&lt;=5,C43=6),10,IF(AND(I14=1,C44&gt;=4,C44&lt;=5,C43=7),10.5,IF(AND(I14=1,C44&gt;=4,C44&lt;=5,C43&gt;=8,C43&lt;=10),11,IF(AND(I14=1,C44&gt;=4,C44&lt;=5,C43=11),11.5,IF(AND(I14=1,C44&gt;=4,C44&lt;=5,C43=12),12,IF(AND(I14=1,C44&gt;=4,C44&lt;=5,C43=13),12.5,IF(AND(I14=1,C44&gt;=4,C44&lt;=5,C43&gt;=14,C43&lt;=16),13,R7)))))))</f>
        <v>12.8</v>
      </c>
    </row>
    <row r="9" spans="1:18" ht="12.75">
      <c r="A9" s="28"/>
      <c r="B9" s="35"/>
      <c r="C9" s="28"/>
      <c r="D9" s="28"/>
      <c r="E9" s="35"/>
      <c r="F9" s="35"/>
      <c r="G9" s="35"/>
      <c r="H9" s="28"/>
      <c r="I9" s="122">
        <v>2</v>
      </c>
      <c r="J9" s="12"/>
      <c r="K9" s="12">
        <f>N6-L8</f>
        <v>0.0539</v>
      </c>
      <c r="L9" s="12">
        <f>N6+L8</f>
        <v>0.0567</v>
      </c>
      <c r="M9" s="12">
        <f>IF(F34&gt;=64,L7-0.002,IF(OR(F34=48,F34=40,F34=32),L7-0.003,L7-0.005))</f>
        <v>0.872</v>
      </c>
      <c r="N9" s="12">
        <f>IF(F34&gt;=64,N7-0.006,IF(F34=48,N7-0.007,IF(OR(F34=40,F34=32),N7-0.008,IF(F34=24,N7-0.009,IF(F34=16,N7-0.011,N7-0.015)))))</f>
        <v>0.8045</v>
      </c>
      <c r="O9" s="12" t="str">
        <f>IF(AND(I14=2,C44&gt;=4,C44&lt;=5,C43&gt;=8,C43&lt;=10),12,IF(AND(I14=2,C44&gt;=4,C44&lt;=5,C43=11),12.5,IF(AND(I14=2,C44&gt;=4,C44&lt;=5,C43&gt;=12,C43&lt;=16),13,IF(AND(I14=2,C44&gt;=4,C44&lt;=5,C43=17),13.5,IF(AND(I14=2,C44&gt;=4,C44&lt;=5,C43=18),14,IF(AND(I14=2,C44&gt;=4,C44&lt;=5,C43=19),14.5,IF(AND(I14=2,C44&gt;=4,C44&lt;=5,C43=20),15,O8)))))))</f>
        <v>N/A</v>
      </c>
      <c r="P9" s="12" t="str">
        <f>IF(AND(I14=2,C44=2.5,C43=49),23.8,IF(AND(I14=2,C44=2.5,C43=50),24,IF(AND(I14=2,C44=1,C43=6),17,IF(AND(I14=2,C44=1,C43=7),18,IF(AND(I14=2,C44=1,C43=8),19,IF(AND(I14=2,C44=1,C43=9),20,IF(AND(I14=2,C44=1,C43=10),21,P8)))))))</f>
        <v>N/A</v>
      </c>
      <c r="Q9" s="12">
        <f>IF(AND(C44=3,C43&gt;=45,C43&lt;=50),20,15)</f>
        <v>15</v>
      </c>
      <c r="R9" s="12">
        <f>IF(AND(I14=1,C44=3,C43=29),19.6,IF(AND(I14=1,C44=3,C43=30),20,IF(AND(I14=1,C44=3,C43=31),20.2,IF(AND(I14=1,C44=3,C43=32),20.4,IF(AND(I14=1,C44=3,C43=33),20.6,IF(AND(I14=1,C44=3,C43=34),20.8,IF(AND(I14=1,C44=3,C43&gt;=35,C43&lt;=50),21,R8)))))))</f>
        <v>12.8</v>
      </c>
    </row>
    <row r="10" spans="1:18" ht="12.75" customHeight="1" thickBot="1">
      <c r="A10" s="28"/>
      <c r="B10" s="32" t="s">
        <v>5</v>
      </c>
      <c r="C10" s="28"/>
      <c r="D10" s="28"/>
      <c r="E10" s="32" t="s">
        <v>9</v>
      </c>
      <c r="F10" s="28"/>
      <c r="G10" s="28"/>
      <c r="H10" s="28"/>
      <c r="I10" s="123"/>
      <c r="J10" s="15">
        <f>C43/C44</f>
        <v>0.84375</v>
      </c>
      <c r="K10" s="15">
        <f>C46*(COS(C45*(PI()/180)))</f>
        <v>0.7307089344431201</v>
      </c>
      <c r="L10" s="16">
        <f>(C43+1)/C44</f>
        <v>0.875</v>
      </c>
      <c r="M10" s="12">
        <f>ROUND((L10+0.0007+(L10*0.0001)),4)</f>
        <v>0.8758</v>
      </c>
      <c r="N10" s="17">
        <f>ROUND((M10-(2*O10)),3)</f>
        <v>0.87</v>
      </c>
      <c r="O10" s="17">
        <f>(IF(C34=6,0.052,IF(C34=7,0.06,IF(C34=8,0.066,IF(C34=9,0.071,IF(C34=10,0.075,IF(C34=11,0.079,IF(C34=12,0.081,O11))))))))/F34</f>
        <v>0.003125</v>
      </c>
      <c r="P10" s="18">
        <f>IF(C43=6,1.305,IF(C43=7,1.302,IF(C43=8,1.362,IF(C43=9,1.364,IF(C43=10,1.406,IF(C43=11,1.409,IF(C43=12,1.44,P11)))))))</f>
        <v>1.564</v>
      </c>
      <c r="Q10" s="12">
        <f>IF(AND(C44=2.5,C43=40),22,IF(AND(C44=2.5,C43=41),22.2,IF(AND(C44=2.5,C43=42),22.4,IF(AND(C44=2.5,C43=43),22.6,IF(AND(C44=2.5,C43=44),22.8,IF(AND(C44=2.5,C43=45),23,IF(AND(C44=2.5,C43=46),23.2,Q7)))))))</f>
        <v>15</v>
      </c>
      <c r="R10" s="12">
        <f>IF(AND(I14=1,C44=3,C43=22),17.4,IF(AND(I14=1,C44=3,C43=23),17.6,IF(AND(I14=1,C44=3,C43=24),17.8,IF(AND(I14=1,C44=3,C43=25),18,IF(AND(I14=1,C44=3,C43=26),18.4,IF(AND(I14=1,C44=3,C43=27),18.8,IF(AND(I14=1,C44=3,C43=28),19.2,R9)))))))</f>
        <v>12.8</v>
      </c>
    </row>
    <row r="11" spans="1:18" ht="13.5" customHeight="1" thickBot="1">
      <c r="A11" s="28"/>
      <c r="B11" s="32" t="s">
        <v>6</v>
      </c>
      <c r="C11" s="28"/>
      <c r="D11" s="28"/>
      <c r="E11" s="32" t="s">
        <v>55</v>
      </c>
      <c r="F11" s="28"/>
      <c r="G11" s="28"/>
      <c r="H11" s="28"/>
      <c r="I11" s="35"/>
      <c r="J11" s="16">
        <f>ROUND((IF(((C34-1)/F34)&lt;K10,K10+0.01,((C34-1)/F34))),4)</f>
        <v>0.8125</v>
      </c>
      <c r="K11" s="16">
        <f>IF(C44&lt;=4,J11+0.005,IF(AND(C44&gt;=5,C44&lt;=8),J11+0.0035,IF(AND(C44&gt;=10,C44&lt;=20),J11+0.0025,IF(C44&gt;=24,J11+0.0015))))</f>
        <v>0.814</v>
      </c>
      <c r="L11" s="16">
        <f>((C43+1.2)/C44)+0.004</f>
        <v>0.88525</v>
      </c>
      <c r="M11" s="16">
        <f>L11+((0.1/C44)+0.005)</f>
        <v>0.893375</v>
      </c>
      <c r="N11" s="16">
        <f>(C43+1)/C44</f>
        <v>0.875</v>
      </c>
      <c r="O11" s="12">
        <f>IF(C34=13,0.084,IF(C34=14,0.086,IF(C34=15,0.088,IF(C34=16,0.09,IF(C34=17,0.091,IF(C34=18,0.093,IF(C34=19,0.094,O12)))))))</f>
        <v>0.1</v>
      </c>
      <c r="P11" s="18">
        <f>IF(C43=13,1.443,IF(C43=14,1.467,IF(C43=15,1.471,IF(C43=16,1.49,IF(C43=17,1.493,IF(C43=18,1.509,IF(C43=19,1.512,P12)))))))</f>
        <v>1.564</v>
      </c>
      <c r="Q11" s="12">
        <f>IF(AND(C44=2.5,C43=33),20.6,IF(AND(C44=2.5,C43=34),20.8,IF(AND(C44=2.5,C43=35),21,IF(AND(C44=2.5,C43=36),21.2,IF(AND(C44=2.5,C43=37),21.4,IF(AND(C44=2.5,C43=38),21.6,IF(AND(C44=2.5,C43=39),21.8,Q10)))))))</f>
        <v>15</v>
      </c>
      <c r="R11" s="12">
        <f>IF(AND(I14=1,C44=3,C43=13),14.5,IF(AND(I14=1,C44=3,C43&gt;=14,C43&lt;=16),15,IF(AND(I14=1,C44=3,C43=17),15.5,IF(AND(I14=1,C44=3,C43=18),16,IF(AND(I14=1,C44=3,C43=19),16.5,IF(AND(I14=1,C44=3,C43=20),17,IF(AND(I14=1,C44=3,C43=21),17.2,R10)))))))</f>
        <v>12.8</v>
      </c>
    </row>
    <row r="12" spans="1:18" ht="13.5" thickBot="1">
      <c r="A12" s="36"/>
      <c r="B12" s="32" t="s">
        <v>7</v>
      </c>
      <c r="C12" s="36"/>
      <c r="D12" s="36"/>
      <c r="E12" s="33" t="s">
        <v>59</v>
      </c>
      <c r="F12" s="34"/>
      <c r="G12" s="101" t="s">
        <v>129</v>
      </c>
      <c r="H12" s="36"/>
      <c r="I12" s="72"/>
      <c r="J12" s="16">
        <f>(C43+1.8)/C44</f>
        <v>0.9</v>
      </c>
      <c r="K12" s="16">
        <f>J12+((0.1/C44)+0.005)</f>
        <v>0.9081250000000001</v>
      </c>
      <c r="L12" s="16">
        <f>ROUND(((PI()/C44)/2),4)</f>
        <v>0.0491</v>
      </c>
      <c r="M12" s="12">
        <f>ROUND((IF(C44=1,(L12+(0.0001*((0.396*C43)+45))),IF(C44=2.5,(L12+(0.0001*((0.156*C43)+42))),IF(C44=3,(L12+(0.0001*((0.132*C43)+40))),IF(OR(C44=4,C44=5),(L12+(0.0001*((0.096*C43)+37))),IF(OR(C44=6,C44=8),(L12+(0.0001*((0.072*C43)+30))),(L12+(0.0001*((0.072*C43)+24))))))))),4)</f>
        <v>0.0517</v>
      </c>
      <c r="N12" s="16">
        <f>((C43-1.2)/C44)-0.004</f>
        <v>0.80225</v>
      </c>
      <c r="O12" s="12">
        <f>IF(C34=20,0.095,IF(C34=21,0.096,IF(OR(C34=22,C34=23),0.097,IF(C34=24,0.098,IF(C34=25,0.099,IF(OR(C34=26,C34=27),0.1,IF(OR(C34=28,C34=29),0.101,O13)))))))</f>
        <v>0.1</v>
      </c>
      <c r="P12" s="18">
        <f>IF(C43=20,1.525,IF(C43=21,1.528,IF(C43=22,1.539,IF(C43=23,1.541,IF(C43=24,1.551,IF(C43=25,1.553,IF(C43=26,1.562,P13)))))))</f>
        <v>1.564</v>
      </c>
      <c r="Q12" s="12">
        <f>IF(AND(C44=1,C43=47),43.2,IF(AND(C44=1,C43=48),43.8,IF(AND(C44=1,C43=49),44.4,IF(AND(C44=1,C43=50),45,IF(AND(C44=2.5,C43&gt;=6,C43&lt;=30),20,IF(AND(C44=2.5,C43=31),20.2,IF(AND(C44=2.5,C43=32),20.4,Q11)))))))</f>
        <v>15</v>
      </c>
      <c r="R12" s="12">
        <f>IF(AND(I14=1,C44=2.5,C43=27),20.8,IF(AND(I14=1,C44=2.5,C43=28),21.2,IF(AND(I14=1,C44=2.5,C43=29),21.6,IF(AND(I14=1,C44=2.5,C43&gt;=30,C43&lt;=50),22,IF(AND(I14=1,C44=3,C43&gt;=6,C43&lt;=8),12,IF(AND(I14=1,C44=3,C43=9),13,IF(AND(I14=1,C44=3,C43&gt;=10,C43&lt;=12),14,R11)))))))</f>
        <v>12.8</v>
      </c>
    </row>
    <row r="13" spans="1:18" ht="13.5" thickBot="1">
      <c r="A13" s="36"/>
      <c r="B13" s="32" t="s">
        <v>8</v>
      </c>
      <c r="C13" s="36"/>
      <c r="D13" s="36"/>
      <c r="E13" s="70"/>
      <c r="F13" s="71"/>
      <c r="G13" s="71"/>
      <c r="H13" s="36"/>
      <c r="I13" s="36"/>
      <c r="J13" s="16">
        <f>K13-((0.1/C44)+0.005)</f>
        <v>0.773125</v>
      </c>
      <c r="K13" s="16">
        <f>IF(C44&lt;=12,((C43-1.8)/C44),((C43-2)/C44))</f>
        <v>0.78125</v>
      </c>
      <c r="L13" s="16">
        <f>IF(C44&lt;=4,M13-0.01,IF(C44&lt;=8,M13-0.007,IF(C44&lt;=20,M13-0.005,M13-0.003)))</f>
        <v>0.872</v>
      </c>
      <c r="M13" s="16">
        <f>ROUND(((C43+1)/C44),4)</f>
        <v>0.875</v>
      </c>
      <c r="N13" s="12">
        <f>ROUND((N12-((0.1/C44)+0.005)),4)</f>
        <v>0.7941</v>
      </c>
      <c r="O13" s="12">
        <f>IF(OR(C34=30,C34=31),0.102,IF(AND(C34&gt;=32,C34&lt;=34),0.103,IF(AND(C34&gt;=35,C34&lt;=37),0.104,IF(AND(C34&gt;=38,C34&lt;=40),0.105,IF(AND(C34&gt;=41,C34&lt;=45),0.106,0.107)))))</f>
        <v>0.107</v>
      </c>
      <c r="P13" s="18">
        <f>IF(C43=27,1.564,IF(C43=28,1.571,IF(C43=29,1.573,IF(C43=30,1.58,IF(C43=31,1.581,IF(C43=32,1.587,IF(C43=33,1.589,P14)))))))</f>
        <v>1.564</v>
      </c>
      <c r="Q13" s="12">
        <f>IF(AND(C44=1,C43=40),39,IF(AND(C44=1,C43=41),39.6,IF(AND(C44=1,C43=42),40.2,IF(AND(C44=1,C43=43),40.8,IF(AND(C44=1,C43=44),41.4,IF(AND(C44=1,C43=45),42,IF(AND(C44=1,C43=46),42.6,Q12)))))))</f>
        <v>15</v>
      </c>
      <c r="R13" s="12">
        <f>IF(AND(I14=1,C44=2.5,C43=20),18,IF(AND(I14=1,C44=2.5,C43=21),18.4,IF(AND(I14=1,C44=2.5,C43=22),18.8,IF(AND(I14=1,C44=2.5,C43=23),19.2,IF(AND(I14=1,C44=2.5,C43=24),19.6,IF(AND(I14=1,C44=2.5,C43=25),20,IF(AND(I14=1,C44=2.5,C43=26),20.4,R12)))))))</f>
        <v>12.8</v>
      </c>
    </row>
    <row r="14" spans="1:18" ht="12.75">
      <c r="A14" s="133" t="s">
        <v>57</v>
      </c>
      <c r="B14" s="134"/>
      <c r="C14" s="134"/>
      <c r="D14" s="134"/>
      <c r="E14" s="134"/>
      <c r="F14" s="134"/>
      <c r="G14" s="134"/>
      <c r="H14" s="28"/>
      <c r="I14" s="122">
        <v>1</v>
      </c>
      <c r="J14" s="16">
        <f>L12-0.0005</f>
        <v>0.0486</v>
      </c>
      <c r="K14" s="16">
        <f>IF(C44&lt;=5,L12+0.0015,IF(C44&lt;=8,L12+0.0013,IF(C44&lt;=20,L12+0.0011,L12+0.0009)))</f>
        <v>0.049999999999999996</v>
      </c>
      <c r="L14" s="16">
        <f>IF(C44=1,L12+0.0045,IF(C44&lt;=3,L12+0.0042,IF(C44&lt;=5,L12+0.0036,L12+0.003)))</f>
        <v>0.0521</v>
      </c>
      <c r="M14" s="16">
        <f>ROUND((IF(C44=1,(L12-(0.0001*((0.36*C43)+52))),IF(C44=2.5,(L12-(0.0001*((0.12*C43)+48))),IF(C44=3,(L12-(0.0001*((0.09*C43)+47))),IF(C44&lt;=5,(L12-(0.0001*((0.072*C43)+43))),IF(C44&lt;=8,(L12-(0.0001*((0.054*C43)+36))),IF(C44&lt;=20,(L12-(0.0001*((0.054*C43)+35))),(L12-(0.0001*((0.054*C43)+30)))))))))),4)</f>
        <v>0.046</v>
      </c>
      <c r="N14" s="16">
        <f>ROUND((IF(C44=1,(L12-(0.0001*((0.36*C43)+27))),IF(C44=2.5,(L12-(0.0001*((0.12*C43)+23))),IF(C44=3,(L12-(0.0001*((0.09*C43)+22))),IF(C44&lt;=5,(L12-(0.0001*((0.072*C43)+18))),IF(C44&lt;=8,(L12-(0.0001*((0.054*C43)+18))),IF(C44&lt;=20,(L12-(0.0001*((0.054*C43)+19))),(L12-(0.0001*((0.054*C43)+16)))))))))),4)</f>
        <v>0.0474</v>
      </c>
      <c r="O14" s="16">
        <f>ROUND((IF(C44=1,(L12-(0.0001*((0.36*C43)-3))),IF(C44=2.5,(L12-(0.0001*((0.12*C43)-4))),IF(C44=3,(L12-(0.0001*((0.09*C43)-5))),IF(C44&lt;=5,(L12-(0.0001*((0.072*C43)-3))),IF(C44&lt;=8,(L12-(0.0001*((0.054*C43)+1))),IF(C44&lt;=20,(L12-(0.0001*(0.054*C43))),(L12-(0.0001*((0.054*C43)-5)))))))))),4)</f>
        <v>0.0495</v>
      </c>
      <c r="P14" s="18" t="str">
        <f>IF(C43=34,1.594,IF(C43=35,1.596,IF(C43=36,1.6,IF(C43=37,1.602,IF(C43=38,1.606,IF(C43=39,1.608,IF(C43=40,1.611,P15)))))))</f>
        <v>N/A</v>
      </c>
      <c r="Q14" s="12">
        <f>IF(AND(C44=1,C43=33),34.8,IF(AND(C44=1,C43=34),35.4,IF(AND(C44=1,C43=35),36,IF(AND(C44=1,C43=36),36.6,IF(AND(C44=1,C43=37),37.2,IF(AND(C44=1,C43=38),37.8,IF(AND(C44=1,C43=39),38.4,Q13)))))))</f>
        <v>15</v>
      </c>
      <c r="R14" s="12">
        <f>IF(AND(I14=1,C44=2.5,C43=13),15.5,IF(AND(I14=1,C44=2.5,C43=14),16,IF(AND(I14=1,C44=2.5,C43=15),16.5,IF(AND(I14=1,C44=2.5,C43=16),17,IF(AND(I14=1,C44=2.5,C43=17),17.25,IF(AND(I14=1,C44=2.5,C43=18),17.5,IF(AND(I14=1,C44=2.5,C43=19),17.75,R13)))))))</f>
        <v>12.8</v>
      </c>
    </row>
    <row r="15" spans="1:18" ht="13.5" thickBot="1">
      <c r="A15" s="134"/>
      <c r="B15" s="134"/>
      <c r="C15" s="134"/>
      <c r="D15" s="134"/>
      <c r="E15" s="134"/>
      <c r="F15" s="134"/>
      <c r="G15" s="134"/>
      <c r="H15" s="28"/>
      <c r="I15" s="125"/>
      <c r="J15" s="16">
        <f>M14+M16</f>
        <v>0.0477</v>
      </c>
      <c r="K15" s="16">
        <f>N14+M16</f>
        <v>0.0491</v>
      </c>
      <c r="L15" s="16">
        <f>O14+M16</f>
        <v>0.0512</v>
      </c>
      <c r="M15" s="16">
        <f>IF(C44&lt;=5,M14+0.002,IF(C44&lt;=20,M14+0.0015,M14+0.001))</f>
        <v>0.047</v>
      </c>
      <c r="N15" s="12">
        <f>IF(C44&lt;=20,N14+0.0015,N14+0.001)</f>
        <v>0.0484</v>
      </c>
      <c r="O15" s="12">
        <f>IF(C44&lt;=20,O14+0.0015,O14+0.001)</f>
        <v>0.0505</v>
      </c>
      <c r="P15" s="18" t="str">
        <f>IF(C43=41,1.613,IF(C43=42,1.616,IF(C43=43,1.617,IF(C43=44,1.621,IF(C43=45,1.622,IF(C43=46,1.625,IF(C43=47,1.626,P16)))))))</f>
        <v>N/A</v>
      </c>
      <c r="Q15" s="12">
        <f>IF(AND(C44=1,C43=26),30.6,IF(AND(C44=1,C43=27),31.2,IF(AND(C44=1,C43=28),31.8,IF(AND(C44=1,C43=29),32.4,IF(AND(C44=1,C43=30),33,IF(AND(C44=1,C43=31),33.6,IF(AND(C44=1,C43=32),34.2,Q14)))))))</f>
        <v>15</v>
      </c>
      <c r="R15" s="12">
        <f>IF(AND(I14=1,C44=2.5,C43=6),12,IF(AND(I14=1,C44=2.5,C43=7),12.5,IF(AND(I14=1,C44=2.5,C43=8),13,IF(AND(I14=1,C44=2.5,C43=9),13.5,IF(AND(I14=1,C44=2.5,C43=10),14,IF(AND(I14=1,C44=2.5,C43=11),14.5,IF(AND(I14=1,C44=2.5,C43=12),15,R14)))))))</f>
        <v>12.8</v>
      </c>
    </row>
    <row r="16" spans="1:18" ht="12.75">
      <c r="A16" s="127" t="s">
        <v>61</v>
      </c>
      <c r="B16" s="127"/>
      <c r="C16" s="127"/>
      <c r="D16" s="127"/>
      <c r="E16" s="127"/>
      <c r="F16" s="127"/>
      <c r="G16" s="127"/>
      <c r="H16" s="127"/>
      <c r="I16" s="127"/>
      <c r="J16" s="16">
        <f>L12+M16</f>
        <v>0.0508</v>
      </c>
      <c r="K16" s="16">
        <f>L12+(M12-J16)</f>
        <v>0.05</v>
      </c>
      <c r="L16" s="13" t="str">
        <f>IF(AND(I29=8,F34&lt;=5),0.002,IF(AND(I29=8,F34&gt;=6,F34&lt;=20),0.0015,IF(AND(I29=8,F34&gt;=24),0.001,IF(AND(I29&gt;=9,I29&lt;=10,F34&lt;=20),0.0015,IF(AND(I29&gt;=9,I29&lt;=10,F34&gt;=24),0.001,"N/A")))))</f>
        <v>N/A</v>
      </c>
      <c r="M16" s="16">
        <f>ROUND((IF(I14=1,((((R17/P10)+P17+Q17)*0.6)*0.0001),IF(I14=2,((((R17/O16)+P17+Q17)*0.6)*0.0001)))),4)</f>
        <v>0.0017</v>
      </c>
      <c r="N16" s="13" t="str">
        <f>IF(AND(I14=2,C44&gt;=6,C43=42),15.4,IF(AND(I14=2,C44&gt;=6,C43=43),15.6,IF(AND(I14=2,C44&gt;=6,C43=44),15.8,IF(AND(I14=2,C44&gt;=6,C43=45),16,IF(AND(I14=2,C44&gt;=6,C43=46),16.2,IF(AND(I14=2,C44&gt;=6,C43=47),16.4,IF(AND(I14=2,C44&gt;=6,C43=48),16.6,N17)))))))</f>
        <v>N/A</v>
      </c>
      <c r="O16" s="19">
        <f>IF(C43=6,1.91,IF(OR(C43=7,C43=10),1.83,IF(C43=8,1.86,IF(OR(C43=9,C43=12),1.81,IF(OR(C43=11,C43=14),1.8,IF(OR(C43=13,C43=16),1.79,IF(C43=15,1.78,O17)))))))</f>
        <v>1.76</v>
      </c>
      <c r="P16" s="18" t="str">
        <f>IF(C43=48,1.629,IF(C43=49,1.63,IF(C43=50,1.632,"N/A")))</f>
        <v>N/A</v>
      </c>
      <c r="Q16" s="12">
        <f>IF(AND(C44=1,C43=19),26.25,IF(AND(C44=1,C43=20),27,IF(AND(C44=1,C43=21),27.6,IF(AND(C44=1,C43=22),28.2,IF(AND(C44=1,C43=23),28.8,IF(AND(C44=1,C43=24),29.4,IF(AND(C44=1,C43=25),30,Q15)))))))</f>
        <v>15</v>
      </c>
      <c r="R16" s="12">
        <f>IF(AND(I14=1,C44=1,C43=15),23.5,IF(AND(I14=1,C44=1,C43&gt;=16,C43&lt;=25),24,IF(AND(I14=1,C44=1,C43=26),24.2,IF(AND(I14=1,C44=1,C43=27),24.4,IF(AND(I14=1,C44=1,C43=28),24.6,IF(AND(I14=1,C44=1,C43=29),24.8,IF(AND(I14=1,C44=1,C43&gt;=30,C43&lt;=50),25,R15)))))))</f>
        <v>12.8</v>
      </c>
    </row>
    <row r="17" spans="1:18" ht="12.75">
      <c r="A17" s="120" t="s">
        <v>50</v>
      </c>
      <c r="B17" s="121"/>
      <c r="C17" s="121"/>
      <c r="D17" s="121"/>
      <c r="E17" s="121"/>
      <c r="F17" s="121"/>
      <c r="G17" s="121"/>
      <c r="H17" s="121"/>
      <c r="I17" s="121"/>
      <c r="J17" s="16">
        <f>M13-0.0015</f>
        <v>0.8735</v>
      </c>
      <c r="K17" s="16">
        <f>M13-0.0001</f>
        <v>0.8749</v>
      </c>
      <c r="L17" s="12">
        <f>ROUND((M13+(M13*0.0001)+0.0008),4)</f>
        <v>0.8759</v>
      </c>
      <c r="M17" s="12"/>
      <c r="N17" s="13" t="str">
        <f>IF(AND(I14=2,C44&gt;=6,C43=49),16.8,IF(AND(I14=2,C44&gt;=6,C43=50),17,"N/A"))</f>
        <v>N/A</v>
      </c>
      <c r="O17" s="19">
        <f>IF(AND(C43&gt;=17,C43&lt;=20),1.78,IF(AND(C43&gt;=21,C43&lt;=25),1.77,IF(AND(C43&gt;=26,C43&lt;=37),1.76,1.75)))</f>
        <v>1.76</v>
      </c>
      <c r="P17" s="12">
        <f>IF(C44=1,15,IF(C44=2.5,11,IF(C44=3,10,IF(C44&lt;=5,8,IF(C44&lt;=8,6,5)))))</f>
        <v>5</v>
      </c>
      <c r="Q17" s="12">
        <f>IF(AND(C44=1,C43&gt;=6,C43&lt;=12),22,IF(AND(C44=1,C43=13),22.5,IF(AND(C44=1,C43=14),23,IF(AND(C44=1,C43=15),23.5,IF(AND(C44=1,C43=16),24,IF(AND(C44=1,C43=17),24.75,IF(AND(C44=1,C43=18),25.5,Q16)))))))</f>
        <v>15</v>
      </c>
      <c r="R17" s="12">
        <f>IF(AND(I14=1,C44=1,C43=6),16,IF(AND(I14=1,C44=1,C43=7),17,IF(AND(I14=1,C44=1,C43=8),18,IF(AND(I14=1,C44=1,C43=9),19,IF(AND(I14=1,C44=1,C43=10),20,IF(AND(I14=1,C44=1,C43=11),21.5,IF(AND(I14=1,C44=1,C43&gt;=12,C43&lt;=14),23,R16)))))))</f>
        <v>12.8</v>
      </c>
    </row>
    <row r="18" spans="1:18" ht="13.5" thickBot="1">
      <c r="A18" s="28"/>
      <c r="B18" s="28"/>
      <c r="C18" s="28"/>
      <c r="D18" s="28"/>
      <c r="E18" s="28"/>
      <c r="F18" s="28"/>
      <c r="G18" s="28"/>
      <c r="H18" s="28"/>
      <c r="I18" s="28"/>
      <c r="J18" s="12">
        <f>ROUND((J17-(0.0019+(0.0002*M13))),4)</f>
        <v>0.8714</v>
      </c>
      <c r="K18" s="12">
        <f>ROUND((K17-((M13*0.0002)+0.0006)),4)</f>
        <v>0.8741</v>
      </c>
      <c r="L18" s="12">
        <f>ROUND((L17+((M13*0.0002)+0.0009)),4)</f>
        <v>0.877</v>
      </c>
      <c r="M18" s="16">
        <f>J11+0.0015</f>
        <v>0.814</v>
      </c>
      <c r="N18" s="12">
        <f>ROUND((M18+(0.0019+(J11*0.0001))),4)</f>
        <v>0.816</v>
      </c>
      <c r="O18" s="16">
        <f>J11+0.0001</f>
        <v>0.8126</v>
      </c>
      <c r="P18" s="12">
        <f>ROUND((O18+(0.0006+(J11*0.0001))),4)</f>
        <v>0.8133</v>
      </c>
      <c r="Q18" s="12">
        <f>ROUND((J11-(0.0007+(0.0002*J11))),4)</f>
        <v>0.8116</v>
      </c>
      <c r="R18" s="12">
        <f>ROUND((Q18-(0.0009+(0.0001*J11))),4)</f>
        <v>0.8106</v>
      </c>
    </row>
    <row r="19" spans="1:18" ht="12.75" customHeight="1">
      <c r="A19" s="28"/>
      <c r="B19" s="32" t="s">
        <v>10</v>
      </c>
      <c r="C19" s="28"/>
      <c r="D19" s="28"/>
      <c r="E19" s="32" t="s">
        <v>12</v>
      </c>
      <c r="F19" s="28"/>
      <c r="G19" s="28"/>
      <c r="H19" s="28"/>
      <c r="I19" s="122">
        <v>2</v>
      </c>
      <c r="J19" s="16">
        <f>(C43+1.4)/C44</f>
        <v>0.8875</v>
      </c>
      <c r="K19" s="16">
        <f>IF(C44&lt;16,J19+0.01,IF(AND(C44&gt;=16,C44&lt;24),J19+0.006,IF(AND(C44&gt;=24,C44&lt;32),J19+0.004,IF(AND(C44&gt;=32,C44&lt;40),J19+0.003,IF(C44&gt;=40,J19+0.002)))))</f>
        <v>0.8905</v>
      </c>
      <c r="L19" s="16">
        <f>(C43+1.1)/C44</f>
        <v>0.878125</v>
      </c>
      <c r="M19" s="16">
        <f>(C43+1)/C44</f>
        <v>0.875</v>
      </c>
      <c r="N19" s="16">
        <f>IF(C44&lt;16,M19-0.01,IF(AND(C44&gt;=16,C44&lt;24),M19-0.006,IF(AND(C44&gt;=24,C44&lt;32),M19-0.004,IF(AND(C44&gt;=32,C44&lt;40),M19-0.003,IF(C44&gt;=40,M19-0.002)))))</f>
        <v>0.872</v>
      </c>
      <c r="O19" s="16">
        <f>(C43-1)/C44</f>
        <v>0.8125</v>
      </c>
      <c r="P19" s="16">
        <f>IF(C44&lt;16,O19-0.01,IF(AND(C44&gt;=16,C44&lt;24),O19-0.006,IF(AND(C44&gt;=24,C44&lt;32),O19-0.004,IF(AND(C44&gt;=32,C44&lt;40),O19-0.003,IF(C44&gt;=40,O19-0.002)))))</f>
        <v>0.8095</v>
      </c>
      <c r="Q19" s="16">
        <f>(C43-0.7)/C44</f>
        <v>0.821875</v>
      </c>
      <c r="R19" s="16">
        <f>ROUND((((PI()/2)+0.2)/C44),4)</f>
        <v>0.0553</v>
      </c>
    </row>
    <row r="20" spans="1:18" ht="13.5" thickBot="1">
      <c r="A20" s="28"/>
      <c r="B20" s="32" t="s">
        <v>11</v>
      </c>
      <c r="C20" s="28"/>
      <c r="D20" s="28"/>
      <c r="E20" s="120" t="s">
        <v>47</v>
      </c>
      <c r="F20" s="120"/>
      <c r="G20" s="120"/>
      <c r="H20" s="28"/>
      <c r="I20" s="125"/>
      <c r="J20" s="16">
        <f>ROUND((IF(C44=10,((((0.072*C43)+26)*0.0001)+R19),IF(C44=16,((((0.048*C43)+26)*0.0001)+R19),IF(C44=24,((((0.036*C43)+26)*0.0001)+R19),((((0.024*C43)+26)*0.0001)+R19))))),4)</f>
        <v>0.058</v>
      </c>
      <c r="K20" s="16">
        <f>ROUND((IF(C44=10,(R19-(((0.06*C43)+37)*0.0001)),IF(C44=16,(R19-(((0.036*C43)+37)*0.0001)),IF(C44=24,(R19-(((0.018*C43)+32)*0.0001)),(R19-(((0.012*C43)+32)*0.0001)))))),4)</f>
        <v>0.0521</v>
      </c>
      <c r="L20" s="16">
        <f>ROUND((IF(C44=10,(R19-(((0.06*C43)+22)*0.0001)),IF(C44=16,(R19-(((0.036*C43)+22)*0.0001)),IF(C44=24,(R19-(((0.018*C43)+17)*0.0001)),(R19-(((0.012*C43)+17)*0.0001)))))),4)</f>
        <v>0.0536</v>
      </c>
      <c r="M20" s="16">
        <f>ROUND((IF(C44=10,(R19-(((0.06*C43)+2)*0.0001)),IF(C44=16,(R19-(((0.036*C43)+2)*0.0001)),IF(C44=24,(R19-(((0.018*C43)-3)*0.0001)),(R19-(((0.012*C43)-3)*0.0001)))))),4)</f>
        <v>0.0556</v>
      </c>
      <c r="N20" s="12">
        <f>IF(AND(I14=1,I29=8),((TAN(C45*PI()/180))-(C45*PI()/180))+((1.92/C44)/C47)+(K20/C46)-(PI()/C43),IF(AND(I14=1,I29=9),((TAN(C45*PI()/180))-(C45*PI()/180))+((1.92/C44)/C47)+(L20/C46)-(PI()/C43),IF(AND(I14=1,I29=10),((TAN(C45*PI()/180))-(C45*PI()/180))+((1.92/C44)/C47)+(M20/C46)-(PI()/C43),((TAN(C45*PI()/180))-(C45*PI()/180))+(J20/C46)-((1.92/C44)/C47))))</f>
        <v>0.04038019217684004</v>
      </c>
      <c r="O20" s="12">
        <f>ROUND((COS(C45*(PI()/180))/SIN(Q23)),3)</f>
        <v>1.878</v>
      </c>
      <c r="P20" s="12">
        <f>ROUND(((((R20/O20)+20)*0.0001)*0.6),4)</f>
        <v>0.0015</v>
      </c>
      <c r="Q20" s="20">
        <f>IF(I14=2,10,IF(AND(I14=1,C44&lt;=16),15,10))</f>
        <v>10</v>
      </c>
      <c r="R20" s="12">
        <f>IF(AND(I14=1,C44=10,C43=6),8,IF(AND(I14=1,C44=10,C43=7),8.5,IF(AND(I14=1,C44=10,C43&gt;=8,C43&lt;=12),9,IF(AND(I14=1,C44=10,C43=13),9.5,IF(AND(I14=1,C44=10,C43&gt;=14,C43&lt;=20),10,IF(AND(I14=1,C44=10,C43=21),10.2,IF(AND(I14=1,C44=10,C43=22),10.4,R21)))))))</f>
        <v>9</v>
      </c>
    </row>
    <row r="21" spans="1:18" ht="16.5" thickBot="1">
      <c r="A21" s="28"/>
      <c r="B21" s="32"/>
      <c r="C21" s="28"/>
      <c r="D21" s="28"/>
      <c r="E21" s="31"/>
      <c r="F21" s="31"/>
      <c r="G21" s="31"/>
      <c r="H21" s="28"/>
      <c r="I21" s="37"/>
      <c r="J21" s="16">
        <f>J20-(Q20*0.0001)</f>
        <v>0.057</v>
      </c>
      <c r="K21" s="16">
        <f>K20+(Q20*0.0001)</f>
        <v>0.0531</v>
      </c>
      <c r="L21" s="16">
        <f>L20+(Q20*0.0001)</f>
        <v>0.0546</v>
      </c>
      <c r="M21" s="16">
        <f>M20+(Q20*0.0001)</f>
        <v>0.0566</v>
      </c>
      <c r="N21" s="12">
        <f>IF(AND(I14=1,I29=8),((TAN(C45*PI()/180))-(C45*PI()/180))+((1.92/C44)/C47)+(K21/C46)-(PI()/C43),IF(AND(I14=1,I29=9),((TAN(C45*PI()/180))-(C45*PI()/180))+((1.92/C44)/C47)+(L21/C46)-(PI()/C43),IF(AND(I14=1,I29=10),((TAN(C45*PI()/180))-(C45*PI()/180))+((1.92/C44)/C47)+(M21/C46)-(PI()/C43),((TAN(C45*PI()/180))-(C45*PI()/180))+(J21/C46)-((1.92/C44)/C47))))</f>
        <v>0.03919500699165486</v>
      </c>
      <c r="O21" s="12"/>
      <c r="P21" s="16">
        <f>ROUND((IF(ISEVEN(C43),(C47/(COS(Q23)))+(1.92/C44),IF(ISODD(C43),((C47*(COS((90/C43)*(PI()/180))))/(COS(Q23)))+(1.92/C44)))),4)</f>
        <v>0.882</v>
      </c>
      <c r="Q21" s="12">
        <f>1.441*(N20^(1/3))-(0.374*N20)</f>
        <v>0.4792693253540162</v>
      </c>
      <c r="R21" s="12">
        <f>IF(AND(I14=1,C44=10,C43=23),10.6,IF(AND(I14=1,C44=10,C43=24),10.8,IF(AND(I14=1,C44=10,C43=25),11,IF(AND(I14=1,C44=10,C43=26),11.2,IF(AND(I14=1,C44=10,C43=27),11.4,IF(AND(I14=1,C44=10,C43=28),11.6,IF(AND(I14=1,C44=10,C43=29),11.8,R22)))))))</f>
        <v>9</v>
      </c>
    </row>
    <row r="22" spans="1:18" ht="12.75" customHeight="1">
      <c r="A22" s="132" t="s">
        <v>53</v>
      </c>
      <c r="B22" s="132"/>
      <c r="C22" s="132"/>
      <c r="D22" s="132"/>
      <c r="E22" s="132"/>
      <c r="F22" s="132"/>
      <c r="G22" s="132"/>
      <c r="H22" s="28"/>
      <c r="I22" s="122"/>
      <c r="J22" s="16">
        <f>J20-P20</f>
        <v>0.0565</v>
      </c>
      <c r="K22" s="16">
        <f>K20+P20</f>
        <v>0.0536</v>
      </c>
      <c r="L22" s="16">
        <f>L20+P20</f>
        <v>0.0551</v>
      </c>
      <c r="M22" s="16">
        <f>M20+P20</f>
        <v>0.0571</v>
      </c>
      <c r="N22" s="12" t="str">
        <f>IF(I14=2,J20,IF(AND(I14=1,I29=8),K21,IF(AND(I14=1,I29=9),L21,IF(AND(I14=1,I29=10),M21,"ERROR"))))</f>
        <v>ERROR</v>
      </c>
      <c r="O22" s="12" t="str">
        <f>IF(I14=2,J22,IF(AND(I14=1,I29=8),K23,IF(AND(I14=1,I29=9),L23,IF(AND(I14=1,I29=10),M23,"ERROR"))))</f>
        <v>ERROR</v>
      </c>
      <c r="P22" s="16">
        <f>ROUND((IF(ISEVEN(C43),(C47/(COS(Q26)))+(1.92/C44),IF(ISODD(C43),((C47*(COS((90/C43)*(PI()/180))))/(COS(Q26)))+(1.92/C44)))),4)</f>
        <v>0.8802</v>
      </c>
      <c r="Q22" s="12">
        <f>Q21+(N20-(TAN(Q21)-Q21))/((TAN(Q21)^2))</f>
        <v>0.47914726022024007</v>
      </c>
      <c r="R22" s="12">
        <f>IF(AND(I14=1,C44=10,C43&gt;=30,C43&lt;=35),12,IF(AND(I14=1,C44=10,C43=36),12.2,IF(AND(I14=1,C44=10,C43=37),12.4,IF(AND(I14=1,C44=10,C43=38),12.6,IF(AND(I14=1,C44=10,C43=39),12.8,IF(AND(I14=1,C44=10,C43&gt;=40,C43&lt;=45),13,IF(AND(I14=1,C44=10,C43=46),13.2,R23)))))))</f>
        <v>9</v>
      </c>
    </row>
    <row r="23" spans="1:18" ht="13.5" thickBot="1">
      <c r="A23" s="132"/>
      <c r="B23" s="132"/>
      <c r="C23" s="132"/>
      <c r="D23" s="132"/>
      <c r="E23" s="132"/>
      <c r="F23" s="132"/>
      <c r="G23" s="132"/>
      <c r="H23" s="28"/>
      <c r="I23" s="125"/>
      <c r="J23" s="16">
        <f>J21-P20</f>
        <v>0.0555</v>
      </c>
      <c r="K23" s="16">
        <f>K21+P20</f>
        <v>0.0546</v>
      </c>
      <c r="L23" s="16">
        <f>L21+P20</f>
        <v>0.056100000000000004</v>
      </c>
      <c r="M23" s="16">
        <f>M21+P20</f>
        <v>0.0581</v>
      </c>
      <c r="N23" s="12" t="str">
        <f>IF(I14=2,J21,IF(AND(I14=1,I29=8),K20,IF(AND(I14=1,I29=9),L20,IF(AND(I14=1,I29=10),M20,"ERROR"))))</f>
        <v>ERROR</v>
      </c>
      <c r="O23" s="12" t="str">
        <f>IF(I14=2,J23,IF(AND(I14=1,I29=8),K22,IF(AND(I14=1,I29=9),L22,IF(AND(I14=1,I29=10),M22,"ERROR"))))</f>
        <v>ERROR</v>
      </c>
      <c r="P23" s="12">
        <f>ROUND((IF(ISEVEN(C43),(C47/(COS(Q23))-(1.92/C44)),IF(ISODD(C43),(((C47*(COS((90/C43)*(PI()/180))))/COS(Q23))-(1.92/C44))))),4)</f>
        <v>0.762</v>
      </c>
      <c r="Q23" s="12">
        <f>Q22+(N20-(TAN(Q22)-Q22))/((TAN(Q22)^2))</f>
        <v>0.47914722378929886</v>
      </c>
      <c r="R23" s="12">
        <f>IF(AND(I14=1,C44=10,C43=47),13.4,IF(AND(I14=1,C44=10,C43=48),13.6,IF(AND(I14=1,C44=10,C43=49),13.8,IF(AND(I14=1,C44=10,C43=50),14,IF(AND(I14=1,C44=10,C43=51),14.1,IF(AND(I14=1,C44=10,C43=52),14.2,IF(AND(I14=1,C44=10,C43=53),14.3,R24)))))))</f>
        <v>9</v>
      </c>
    </row>
    <row r="24" spans="1:18" ht="11.25" customHeight="1">
      <c r="A24" s="126"/>
      <c r="B24" s="126"/>
      <c r="C24" s="126"/>
      <c r="D24" s="126"/>
      <c r="E24" s="126"/>
      <c r="F24" s="126"/>
      <c r="G24" s="126"/>
      <c r="H24" s="28"/>
      <c r="I24" s="37"/>
      <c r="J24" s="16">
        <f>(C43-0.6)/C44</f>
        <v>0.825</v>
      </c>
      <c r="K24" s="16">
        <f>IF(C44=10,J24+0.01,IF(C44=16,J24+0.006,IF(C44=24,J24+0.004,IF(C44=32,J24+0.003,IF(C44&gt;=40,J24+0.002)))))</f>
        <v>0.828</v>
      </c>
      <c r="L24" s="12"/>
      <c r="M24" s="12"/>
      <c r="N24" s="12"/>
      <c r="O24" s="12"/>
      <c r="P24" s="12">
        <f>ROUND((IF(ISEVEN(C43),(C47/(COS(Q26))-(1.92/C44)),IF(ISODD(C43),(((C47*(COS((90/C43)*(PI()/180))))/COS(Q26))-(1.92/C44))))),4)</f>
        <v>0.7602</v>
      </c>
      <c r="Q24" s="12">
        <f>1.441*(N21^(1/3))-(0.374*N21)</f>
        <v>0.47482776770830626</v>
      </c>
      <c r="R24" s="12">
        <f>IF(AND(I14=1,C44=10,C43=54),14.4,IF(AND(I14=1,C44=10,C43=55),14.5,IF(AND(I14=1,C44=10,C43=56),14.6,IF(AND(I14=1,C44=10,C43=57),14.7,IF(AND(I14=1,C44=10,C43=58),14.8,IF(AND(I14=1,C44=10,C43=59),14.9,IF(AND(I14=1,C44=10,C43=60),15,R25)))))))</f>
        <v>9</v>
      </c>
    </row>
    <row r="25" spans="1:18" ht="12.75" customHeight="1">
      <c r="A25" s="120" t="s">
        <v>51</v>
      </c>
      <c r="B25" s="121"/>
      <c r="C25" s="121"/>
      <c r="D25" s="121"/>
      <c r="E25" s="121"/>
      <c r="F25" s="121"/>
      <c r="G25" s="121"/>
      <c r="H25" s="121"/>
      <c r="I25" s="121"/>
      <c r="J25" s="12"/>
      <c r="K25" s="12"/>
      <c r="L25" s="12"/>
      <c r="M25" s="12"/>
      <c r="N25" s="12"/>
      <c r="O25" s="12"/>
      <c r="P25" s="12"/>
      <c r="Q25" s="12">
        <f>Q24+(N21-(TAN(Q24)-Q24))/((TAN(Q24)^2))</f>
        <v>0.47470828248636965</v>
      </c>
      <c r="R25" s="12">
        <f>IF(AND(I14=1,C44=10,C43=61),15.1,IF(AND(I14=1,C44=10,C43=62),15.2,IF(AND(I14=1,C44=10,C43=63),15.3,IF(AND(I14=1,C44=10,C43=64),15.4,IF(AND(I14=1,C44=10,C43=65),15.5,IF(AND(I14=1,C44=10,C43=66),15.6,IF(AND(I14=1,C44=10,C43=67),15.7,R26)))))))</f>
        <v>9</v>
      </c>
    </row>
    <row r="26" spans="1:18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12"/>
      <c r="K26" s="12"/>
      <c r="L26" s="12"/>
      <c r="M26" s="12"/>
      <c r="N26" s="12"/>
      <c r="O26" s="12"/>
      <c r="P26" s="12"/>
      <c r="Q26" s="12">
        <f>Q25+(N21-(TAN(Q25)-Q25))/((TAN(Q25)^2))</f>
        <v>0.47470824735881645</v>
      </c>
      <c r="R26" s="12">
        <f>IF(AND(I14=1,C44=10,C43=68),15.8,IF(AND(I14=1,C44=10,C43=69),15.9,IF(AND(I14=1,C44=10,C43=70),16,IF(AND(I14=1,C44=10,C43=71),16.1,IF(AND(I14=1,C44=10,C43=72),16.2,IF(AND(I14=1,C44=10,C43=73),16.3,IF(AND(I14=1,C44=10,C43=74),16.4,R27)))))))</f>
        <v>9</v>
      </c>
    </row>
    <row r="27" spans="1:18" ht="12.75">
      <c r="A27" s="38" t="s">
        <v>44</v>
      </c>
      <c r="B27" s="31" t="s">
        <v>15</v>
      </c>
      <c r="C27" s="28"/>
      <c r="D27" s="38" t="s">
        <v>45</v>
      </c>
      <c r="E27" s="31" t="s">
        <v>13</v>
      </c>
      <c r="F27" s="28"/>
      <c r="G27" s="28"/>
      <c r="H27" s="31" t="s">
        <v>48</v>
      </c>
      <c r="I27" s="28"/>
      <c r="J27" s="17" t="b">
        <f>IF(I37=0.125,0.122,IF(I37=0.1875,0.182,IF(I37=0.25,0.243,IF(I37=0.3125,0.303,IF(I37=0.375,0.363,IF(I37=0.5,0.485,IF(I37=0.625,0.605,K27)))))))</f>
        <v>0</v>
      </c>
      <c r="K27" s="17" t="b">
        <f>IF(I37=0.75,0.733,IF(I37=0.875,0.855,IF(I37=1,0.977,IF(I37=1.125,1.098,IF(I37=1.25,1.22,IF(I37=1.375,1.342,IF(I37=1.5,1.464,L27)))))))</f>
        <v>0</v>
      </c>
      <c r="L27" s="17" t="b">
        <f>IF(I37=1.75,1.708,IF(I37=2,1.952,IF(I37=2.25,2.196,IF(I37=2.5,2.44,IF(I37=2.75,2.684,IF(I37=3,2.928))))))</f>
        <v>0</v>
      </c>
      <c r="M27" s="17">
        <f>ROUNDDOWN(I37,3)</f>
        <v>0</v>
      </c>
      <c r="N27" s="12">
        <f>ROUND((IF(I37&lt;=0.625,(J27*0.9119441),(J27*0.9309375))),4)</f>
        <v>0</v>
      </c>
      <c r="O27" s="12"/>
      <c r="P27" s="12"/>
      <c r="Q27" s="12"/>
      <c r="R27" s="12">
        <f>IF(AND(I14=1,C44=10,C43=75),16.5,IF(AND(I14=1,C44=10,C43=76),16.6,IF(AND(I14=1,C44=10,C43=77),16.7,IF(AND(I14=1,C44=10,C43=78),16.8,IF(AND(I14=1,C44=10,C43=79),16.9,IF(AND(I14=1,C44=10,C43=80),17,IF(AND(I14=1,C44=10,C43=81),17.1,R28)))))))</f>
        <v>9</v>
      </c>
    </row>
    <row r="28" spans="1:18" ht="13.5" thickBot="1">
      <c r="A28" s="28"/>
      <c r="B28" s="31" t="s">
        <v>16</v>
      </c>
      <c r="C28" s="28"/>
      <c r="D28" s="28"/>
      <c r="E28" s="31" t="s">
        <v>14</v>
      </c>
      <c r="F28" s="28"/>
      <c r="G28" s="28"/>
      <c r="H28" s="31" t="s">
        <v>20</v>
      </c>
      <c r="I28" s="28"/>
      <c r="J28" s="17" t="b">
        <f>IF(I37=0.125,0.118,IF(I37=0.1875,0.176,IF(I37=0.25,0.235,IF(I37=0.3125,0.293,IF(I37=0.375,0.352,IF(I37=0.5,0.469,IF(I37=0.625,0.584,K28)))))))</f>
        <v>0</v>
      </c>
      <c r="K28" s="17" t="b">
        <f>IF(I37=0.75,0.716,IF(I37=0.875,0.835,IF(I37=1,0.954,IF(I37=1.125,1.071,IF(I37=1.25,1.19,IF(I37=1.375,1.309,IF(I37=1.5,1.428,L28)))))))</f>
        <v>0</v>
      </c>
      <c r="L28" s="17" t="b">
        <f>IF(I37=1.75,1.666,IF(I37=2,1.904,IF(I37=2.25,2.142,IF(I37=2.5,2.38,IF(I37=2.75,2.618,IF(I37=3,2.856))))))</f>
        <v>0</v>
      </c>
      <c r="M28" s="17">
        <f>IF(I37&lt;=0.625,J28-0.001,J28-0.002)</f>
        <v>-0.001</v>
      </c>
      <c r="N28" s="12">
        <f>IF(I37&gt;=2,N27+0.0016,N27+0.0011)</f>
        <v>0.0011</v>
      </c>
      <c r="O28" s="12"/>
      <c r="P28" s="12"/>
      <c r="Q28" s="12"/>
      <c r="R28" s="12">
        <f>IF(AND(I14=1,C44=10,C43=82),17.2,IF(AND(I14=1,C44=10,C43=83),17.3,IF(AND(I14=1,C44=10,C43=84),17.4,IF(AND(I14=1,C44=10,C43=85),17.5,IF(AND(I14=1,C44=10,C43=86),17.6,IF(AND(I14=1,C44=10,C43=87),17.7,IF(AND(I14=1,C44=10,C43=88),17.8,R29)))))))</f>
        <v>9</v>
      </c>
    </row>
    <row r="29" spans="1:18" ht="12.75">
      <c r="A29" s="28"/>
      <c r="B29" s="31" t="s">
        <v>17</v>
      </c>
      <c r="C29" s="28"/>
      <c r="D29" s="28"/>
      <c r="E29" s="28"/>
      <c r="F29" s="28"/>
      <c r="G29" s="28"/>
      <c r="H29" s="28"/>
      <c r="I29" s="122">
        <v>4</v>
      </c>
      <c r="J29" s="17">
        <f>IF(I37&lt;=0.625,J28-0.002,J28-0.003)</f>
        <v>-0.002</v>
      </c>
      <c r="K29" s="17">
        <f>M27-0.001</f>
        <v>-0.001</v>
      </c>
      <c r="L29" s="17">
        <f>IF(I37&lt;=0.625,K29-0.001,K29-0.002)</f>
        <v>-0.002</v>
      </c>
      <c r="M29" s="16">
        <f>ROUND((IF(I37&lt;=0.625,(J27*0.05309792),(J27*0.04133332))),4)</f>
        <v>0</v>
      </c>
      <c r="N29" s="12">
        <f>ROUND((IF(I37&lt;=0.625,(J27*1.1113285),(J27*1.0823601))),4)</f>
        <v>0</v>
      </c>
      <c r="O29" s="12"/>
      <c r="P29" s="12"/>
      <c r="Q29" s="12"/>
      <c r="R29" s="12">
        <f>IF(AND(I14=1,C44=10,C43=89),17.9,IF(AND(I14=1,C44=10,C43=90),18,IF(AND(I14=1,C44=10,C43=91),18.1,IF(AND(I14=1,C44=10,C43=92),18.2,IF(AND(I14=1,C44=10,C43=93),18.3,IF(AND(I14=1,C44=10,C43=94),18.4,IF(AND(I14=1,C44=10,C43=95),18.5,R30)))))))</f>
        <v>9</v>
      </c>
    </row>
    <row r="30" spans="1:18" ht="13.5" thickBot="1">
      <c r="A30" s="28"/>
      <c r="B30" s="31" t="s">
        <v>18</v>
      </c>
      <c r="C30" s="28"/>
      <c r="D30" s="38" t="s">
        <v>46</v>
      </c>
      <c r="E30" s="31" t="s">
        <v>19</v>
      </c>
      <c r="F30" s="28"/>
      <c r="G30" s="28"/>
      <c r="H30" s="28"/>
      <c r="I30" s="125"/>
      <c r="J30" s="12">
        <f>IF(I37&lt;=0.625,40,41.25)</f>
        <v>40</v>
      </c>
      <c r="K30" s="12">
        <f>IF(I37&lt;=0.625,36,48)</f>
        <v>36</v>
      </c>
      <c r="L30" s="12"/>
      <c r="M30" s="16">
        <f>ROUND((IF(I37&lt;=0.625,(J27*0.06585005),(J27*0.0485955))),4)</f>
        <v>0</v>
      </c>
      <c r="N30" s="12">
        <f>IF(I37&gt;=2,N29-0.0014,N29-0.0009)</f>
        <v>-0.0009</v>
      </c>
      <c r="O30" s="12"/>
      <c r="P30" s="12"/>
      <c r="Q30" s="12"/>
      <c r="R30" s="12">
        <f>IF(AND(I14=1,C44=10,C43=96),18.6,IF(AND(I14=1,C44=10,C43=97),18.7,IF(AND(I14=1,C44=10,C43=98),18.8,IF(AND(I14=1,C44=10,C43=99),18.9,IF(AND(I14=1,C44=10,C43=100),19,IF(AND(I14=1,C44=16,C43&gt;=6,C43&lt;=8),8,IF(AND(I14=1,C44=16,C43=9),8.5,R31)))))))</f>
        <v>9</v>
      </c>
    </row>
    <row r="31" spans="1:18" ht="6.7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  <c r="M31" s="12"/>
      <c r="N31" s="12"/>
      <c r="O31" s="12"/>
      <c r="P31" s="12"/>
      <c r="Q31" s="12"/>
      <c r="R31" s="12">
        <f>IF(AND(I14=1,C44=16,C43&gt;=10,C43&lt;=16),9,IF(AND(I14=1,C44=16,C43=17),9.25,IF(AND(I14=1,C44=16,C43=18),9.5,IF(AND(I14=1,C44=16,C43=19),9.75,IF(AND(I14=1,C44=16,C43&gt;=20,C43&lt;=30),10,IF(AND(I14=1,C44=16,C43=31),10.2,IF(AND(I14=1,C44=16,C43=32),10.4,R32)))))))</f>
        <v>9</v>
      </c>
    </row>
    <row r="32" spans="1:18" ht="12.75">
      <c r="A32" s="120" t="s">
        <v>52</v>
      </c>
      <c r="B32" s="121"/>
      <c r="C32" s="121"/>
      <c r="D32" s="121"/>
      <c r="E32" s="121"/>
      <c r="F32" s="121"/>
      <c r="G32" s="121"/>
      <c r="H32" s="121"/>
      <c r="I32" s="121"/>
      <c r="J32" s="16">
        <f>(C43+1.4)/C44</f>
        <v>0.8875</v>
      </c>
      <c r="K32" s="16">
        <f>J32+0.002</f>
        <v>0.8895</v>
      </c>
      <c r="L32" s="16">
        <f>(C43-0.6)/C44</f>
        <v>0.825</v>
      </c>
      <c r="M32" s="16">
        <f>L32+0.002</f>
        <v>0.827</v>
      </c>
      <c r="N32" s="16">
        <f>ROUND(((C43+1.1)/C44),4)</f>
        <v>0.8781</v>
      </c>
      <c r="O32" s="16" t="b">
        <f>IF(AND(C44=40,C43&lt;54),0.047,IF(AND(C44=40,C43&gt;=54),0.0471,IF(C44=48,0.0396,IF(AND(C44=64,C43=19),0.0303,IF(AND(C44=64,C43&gt;19),0.0304,IF(C44=80,0.0247))))))</f>
        <v>0</v>
      </c>
      <c r="P32" s="12"/>
      <c r="Q32" s="12"/>
      <c r="R32" s="12">
        <f>IF(AND(I14=1,C44=16,C43=33),10.6,IF(AND(I14=1,C44=16,C43=34),10.8,IF(AND(I14=1,C44=16,C43&gt;=35,C43&lt;=45),11,IF(AND(I14=1,C44=16,C43=46),11.2,IF(AND(I14=1,C44=16,C43=47),11.4,IF(AND(I14=1,C44=16,C43=48),11.6,IF(AND(I14=1,C44=16,C43=49),11.8,R33)))))))</f>
        <v>9</v>
      </c>
    </row>
    <row r="33" spans="1:18" ht="6.75" customHeight="1" thickBot="1">
      <c r="A33" s="78">
        <f>IF(AND(I14=1,I19&lt;4,I34=30),(((C43-1)/C44)-(2*cF)),IF(AND(I14=1,I34=37.5),(((C43-0.8)/C44)-(2*cF)),IF(AND(I14=1,I34=45),(((C43-0.6)/C44)-(2*cF)),IF(AND(I14=2,I19=3),(((C43+0.8)/C44)-0.004+(2*cF)),(((C43+1)/C44)+(2*cF))))))</f>
        <v>0.8085</v>
      </c>
      <c r="B33" s="79">
        <f>IF(AND(I14=1,I19=1),C33-K58,IF(AND(I14=1,I19=2),A45,IF(AND(I14=1,I19=3),C33-A43,IF(I14=2,A44))))</f>
        <v>0.872</v>
      </c>
      <c r="C33" s="79">
        <f>IF(AND(I14=1,I19=3),(((C43+1)/C44)-0.0001),IF(AND(I14=2,I19=2,I34=30),(((C43+1.9)/C44)+L57),IF(AND(I14=2,I19=1),(((C43+1.35)/C44)+0.004),IF(AND(I14=2,I34=37.5),(((C43+1.7)/C44)+L57),IF(AND(I14=2,I34=45),(((C43+1.5)/C44)+L57),IF(AND(I14=2,I19=3),(((C43+1)/C44)+((C46*0.0003)+0.001)),((C43+1)/C44)))))))</f>
        <v>0.875</v>
      </c>
      <c r="D33" s="79">
        <f>IF(AND(I14=1,I19&lt;&gt;2,I34=30),((((C43-1.35)/C44)-0.004)-L57),IF(AND(I14=1,I19=2,I34=30,C44&lt;13),(((C43-1.9)/C44)-L57),IF(AND(I14=1,I19=2,I34=30,C44&gt;13),(((C43-2.1)/C44)-L57),IF(AND(I14=1,I19=2,I34=37.5),(((C43-1.4)/C44)-L57),IF(AND(I14=1,I19=2,I34=45),(((C43-1.1)/C44)-L57),IF(AND(I14=2,I34=37.5),((C43-0.8)/C44),IF(AND(I14=2,I34=45),((C43-0.6)/C44),((C43-1)/C44))))))))</f>
        <v>0.768735</v>
      </c>
      <c r="E33" s="79">
        <f>IF(AND(I14=1,I34=30,I19&lt;&gt;2),(C43-1.35)/C44,IF(AND(I14=1,I34=30,I19=2,F34&lt;13),(C43-1.8)/C44,IF(AND(I14=1,I34=30,I19=2,F34&gt;13),(C43-2)/C44,IF(AND(I14=1,I34=37.5),(C43-1.3)/C44,IF(AND(I14=1,I34=45),(C43-1)/C44,A46)))))</f>
        <v>0.78125</v>
      </c>
      <c r="F33" s="80">
        <f>ROUND((IF(I9=3,L5,IF(I29=4,J56*0.71,IF(I29=6,J56*1.4,IF(I29=7,J56*2,IF(I29=8,"REF",IF(I29=9,"REF",IF(I29=10,"REF",J56)))))))),5)</f>
        <v>0.00092</v>
      </c>
      <c r="G33" s="79">
        <f>IF(F34&lt;=48,ROUNDDOWN((SQRT((3*(C43^2)+((C43-(0.016*C44)-4.5)^2)))/(2*C44)),3),ROUNDDOWN((SQRT((3*(C43^2)+((C43-(0.016*C44)-4.5)^2)))/(2*C44)),4))</f>
        <v>0.807</v>
      </c>
      <c r="H33" s="79">
        <f>IF(F34&lt;49,ROUNDDOWN((SQRT(3*(C43^2)+((C43-5.359)^2))/(2*C44)),3),ROUNDDOWN((SQRT(3*(C43^2)+((C43-5.359)^2))/(2*C44)),4))</f>
        <v>0.805</v>
      </c>
      <c r="I33" s="79">
        <f>IF(AND(I14=1,F34&lt;=48),ROUNDDOWN(A33,3),IF(AND(I14=1,F34&gt;48),ROUNDDOWN(A33,4),IF(AND(I14=2,F34&lt;=48),ROUNDUP(A33,3),ROUNDUP(A33,4))))</f>
        <v>0.808</v>
      </c>
      <c r="J33" s="16">
        <f>(C43+1)/C44</f>
        <v>0.875</v>
      </c>
      <c r="K33" s="16">
        <f>J33-0.002</f>
        <v>0.873</v>
      </c>
      <c r="L33" s="16">
        <f>(C43-1)/C44</f>
        <v>0.8125</v>
      </c>
      <c r="M33" s="16">
        <f>L33-0.002</f>
        <v>0.8105</v>
      </c>
      <c r="N33" s="16">
        <f>ROUND(((C43-0.7)/C44),4)</f>
        <v>0.8219</v>
      </c>
      <c r="O33" s="16" t="b">
        <f>IF(AND(C44=40,C43=39),0.0411,IF(AND(C44=40,C43&gt;39),0.041,IF(C44=48,0.0336,IF(C44=64,0.0245,IF(C44=80,0.0189)))))</f>
        <v>0</v>
      </c>
      <c r="P33" s="12"/>
      <c r="Q33" s="12"/>
      <c r="R33" s="12">
        <f>IF(AND(I14=1,C44=16,C43&gt;=50,C43&lt;=60),12,IF(AND(I14=1,C44=16,C43=61),12.1,IF(AND(I14=1,C44=16,C43=62),12.2,IF(AND(I14=1,C44=16,C43=63),12.3,IF(AND(I14=1,C44=16,C43=64),12.4,IF(AND(I14=1,C44=16,C43=65),12.5,IF(AND(I14=1,C44=16,C43=66),12.6,R34)))))))</f>
        <v>9</v>
      </c>
    </row>
    <row r="34" spans="1:18" ht="13.5" thickBot="1">
      <c r="A34" s="39" t="s">
        <v>21</v>
      </c>
      <c r="B34" s="28"/>
      <c r="C34" s="73">
        <v>27</v>
      </c>
      <c r="D34" s="39" t="s">
        <v>22</v>
      </c>
      <c r="E34" s="28"/>
      <c r="F34" s="73">
        <v>32</v>
      </c>
      <c r="G34" s="39" t="s">
        <v>23</v>
      </c>
      <c r="H34" s="28"/>
      <c r="I34" s="73">
        <v>30</v>
      </c>
      <c r="J34" s="16">
        <f>(C43+1)/C44</f>
        <v>0.875</v>
      </c>
      <c r="K34" s="16">
        <f>IF(C44=8,J34-0.007,IF(C44=16,J34-0.005,IF(C44=32,J34-0.003)))</f>
        <v>0.872</v>
      </c>
      <c r="L34" s="16">
        <f>IF(C44=8,(C43-1.8)/C44,(C43-2)/C44)</f>
        <v>0.78125</v>
      </c>
      <c r="M34" s="16">
        <f>IF(C44=8,L34-0.0175,IF(C44=16,L34-0.0112,IF(C44=32,L34-0.0081)))</f>
        <v>0.77315</v>
      </c>
      <c r="N34" s="16">
        <f>(C43-1)/C44</f>
        <v>0.8125</v>
      </c>
      <c r="O34" s="16">
        <f>IF(AND(C44=8,C43&lt;=27),0.1926,IF(AND(C44=8,C43&gt;27,C43&lt;47),0.1925,IF(AND(C44=8,C43=47),0.1924,IF(AND(C44=16,C43&lt;29),0.0946,IF(AND(C44=16,C43&gt;27,C43&lt;47),0.0945,IF(AND(C44=16,C43=47),0.0944,IF(AND(C44=32,C43&lt;29),0.046,P34)))))))</f>
        <v>0.046</v>
      </c>
      <c r="P34" s="12">
        <f>IF(AND(C44=32,C43&gt;27,C43&lt;47),0.0459,0.0458)</f>
        <v>0.0458</v>
      </c>
      <c r="Q34" s="12"/>
      <c r="R34" s="12">
        <f>IF(AND(I14=1,C44=16,C43=67),12.7,IF(AND(I14=1,C44=16,C43=68),12.8,IF(AND(I14=1,C44=16,C43=69),12.9,IF(AND(I14=1,C44=16,C43=70),13,IF(AND(I14=1,C44=16,C43=71),13.1,IF(AND(I14=1,C44=16,C43=72),13.2,IF(AND(I14=1,C44=16,C43=73),13.3,R35)))))))</f>
        <v>9</v>
      </c>
    </row>
    <row r="35" spans="1:18" ht="5.25" customHeight="1">
      <c r="A35" s="79">
        <f>IF(I34=30,(((C43-1)/C44)-(2*K57)),IF(I34=37.5,(((C43-0.8)/C44)-(2*K57)),IF(I34=45,(((C43-0.6)/C44)-(2*K57)))))</f>
        <v>0.8085</v>
      </c>
      <c r="B35" s="43"/>
      <c r="C35" s="43"/>
      <c r="D35" s="43"/>
      <c r="E35" s="43"/>
      <c r="F35" s="78">
        <f>ROUND((IF(AND(I9=3,I14=1,I34=45),K9,IF(AND(I9=3,I14=2,I34=45),L6,IF(AND(I9=3,I14=1),H35-M5,IF(AND(I9=3,I14=2),I35+L5+M5,IF(AND(I14=1,I19=3),H35-lambdaxf,IF(I14=1,nominal-lambdaxf,nominal+lambdaxf+mxf))))))),4)</f>
        <v>0.0481</v>
      </c>
      <c r="G35" s="78">
        <f>ROUND((IF(AND(I9=3,I14=1,I34=45),K7,IF(AND(I9=3,I14=2,I34=45),L9,IF(AND(I9=3,I14=1),H35-L5-M5,IF(AND(I9=3,I14=2),I35+M5,IF(AND(I14=1,I19=3),H35-(lambdaxf+mxf),IF(I14=1,nominal-(lambdaxf+mxf),nominal+lambdaxf))))))),4)</f>
        <v>0.0472</v>
      </c>
      <c r="H35" s="78">
        <f>ROUND((IF(AND(I9=3,I14=1,I34=45),N6,IF(AND(I9=3,I14=2,I34=45),M6,IF(AND(I14=1,I29=1),K5,IF(AND(I14=1,I19=3),J55,IF(I14=1,nominal,nominal+mxf)))))),4)</f>
        <v>0.0491</v>
      </c>
      <c r="I35" s="78">
        <f>ROUND((IF(AND(I9=3,I14=1,I34=45),J7,IF(AND(I9=3,I14=2,I34=45),N6,IF(AND(I9=3,I14=1),H35-L5,IF(AND(I14=1,I19=3),H35-mxf,IF(I14=1,nominal-mxf,nominal)))))),4)</f>
        <v>0.0482</v>
      </c>
      <c r="J35" s="16">
        <f>(C43+1.8)/C44</f>
        <v>0.9</v>
      </c>
      <c r="K35" s="16">
        <f>IF(C44=8,J35+0.0175,IF(C44=16,J35+0.0112,IF(C44=32,J35+0.0081)))</f>
        <v>0.9081</v>
      </c>
      <c r="L35" s="16">
        <f>(C43-1)/C44</f>
        <v>0.8125</v>
      </c>
      <c r="M35" s="16">
        <f>IF(C44=8,L35+0.0035,IF(C44=16,L35+0.0025,IF(C44=32,L35+0.0035)))</f>
        <v>0.816</v>
      </c>
      <c r="N35" s="16">
        <f>(C43+1)/C44</f>
        <v>0.875</v>
      </c>
      <c r="O35" s="16">
        <f>IF(AND(C44=8,C43&lt;20),0.1994,IF(AND(C44=8,C43&gt;20,C43&lt;34),0.1995,IF(AND(C44=8,C43&gt;34),0.1996,IF(AND(C44=16,C43&lt;20),0.1007,IF(AND(C44=16,C43&gt;20,C43&lt;32),0.1008,IF(AND(C44=16,C43&gt;32),0.1009,IF(AND(C44=32,C43&lt;20),0.0516,P35)))))))</f>
        <v>0.0517</v>
      </c>
      <c r="P35" s="16">
        <f>IF(AND(C44=32,C43&gt;20,C43&lt;32),0.0517,0.0518)</f>
        <v>0.0517</v>
      </c>
      <c r="Q35" s="12"/>
      <c r="R35" s="12">
        <f>IF(AND(I14=1,C44=16,C43=74),13.4,IF(AND(I14=1,C44=16,C43=75),13.5,IF(AND(I14=1,C44=16,C43=76),13.6,IF(AND(I14=1,C44=16,C43=77),13.7,IF(AND(I14=1,C44=16,C43=78),13.8,IF(AND(I14=1,C44=16,C43=79),13.9,IF(AND(I14=1,C44=16,C43&gt;=80,C43&lt;=90),14,R36)))))))</f>
        <v>9</v>
      </c>
    </row>
    <row r="36" spans="1:18" ht="13.5" thickBot="1">
      <c r="A36" s="28"/>
      <c r="B36" s="131" t="s">
        <v>24</v>
      </c>
      <c r="C36" s="131"/>
      <c r="D36" s="131"/>
      <c r="E36" s="131"/>
      <c r="F36" s="131"/>
      <c r="G36" s="131"/>
      <c r="H36" s="28"/>
      <c r="I36" s="28"/>
      <c r="J36" s="16" t="b">
        <f>IF(AND(I9=6,I14=1,C45=30),K34,IF(AND(I9=6,I14=2,C45=30),J35,IF(AND(I9=6,I14=1,C45=45),K33,IF(AND(I9=6,I14=2,C45=45),J32))))</f>
        <v>0</v>
      </c>
      <c r="K36" s="16" t="b">
        <f>IF(AND(I9=6,I14=1,C45=30),J34,IF(AND(I9=6,I14=2,C45=30),K35,IF(AND(I9=6,I14=1,C45=45),J33,IF(AND(I9=6,I14=2,C45=45),K32))))</f>
        <v>0</v>
      </c>
      <c r="L36" s="16" t="b">
        <f>IF(AND(I9=6,I14=1,C45=30),M34,IF(AND(I9=6,I14=2,C45=30),L35,IF(AND(I9=6,I14=1,C45=45),M33,IF(AND(I9=6,I14=2,C45=45),L32))))</f>
        <v>0</v>
      </c>
      <c r="M36" s="16" t="b">
        <f>IF(AND(I9=6,I14=1,C45=30),L34,IF(AND(I9=6,I14=2,C45=30),M35,IF(AND(I9=6,I14=1,C45=45),L33,IF(AND(I9=6,I14=2,C45=45),M32))))</f>
        <v>0</v>
      </c>
      <c r="N36" s="16" t="b">
        <f>IF(AND(I9=6,I14=1,C45=30),N34,IF(AND(I9=6,I14=2,C45=30),N35,IF(AND(I9=6,I14=1,C45=45),N33,IF(AND(I9=6,I14=2,C45=45),N32))))</f>
        <v>0</v>
      </c>
      <c r="O36" s="12"/>
      <c r="P36" s="12"/>
      <c r="Q36" s="12"/>
      <c r="R36" s="12">
        <f>IF(AND(I14=1,C44=16,C43=91),14.1,IF(AND(I14=1,C44=16,C43=92),14.2,IF(AND(I14=1,C44=16,C43=93),14.3,IF(AND(I14=1,C44=16,C43=94),14.4,IF(AND(I14=1,C44=16,C43=95),14.5,IF(AND(I14=1,C44=16,C43=96),14.6,IF(AND(I14=1,C44=16,C43=97),14.7,R38)))))))</f>
        <v>9</v>
      </c>
    </row>
    <row r="37" spans="1:18" ht="13.5" thickBot="1">
      <c r="A37" s="28"/>
      <c r="B37" s="40"/>
      <c r="C37" s="40"/>
      <c r="D37" s="124" t="s">
        <v>54</v>
      </c>
      <c r="E37" s="124"/>
      <c r="F37" s="124"/>
      <c r="G37" s="124"/>
      <c r="H37" s="28"/>
      <c r="I37" s="74"/>
      <c r="J37" s="12" t="str">
        <f>IF(AND(I9=6,I14=2,C45=45),"NAS 541",IF(AND(I9=6,I14=1,C45=45),"NAS 542",IF(AND(I9=6,I14=2,C45=30),"NAS 580",IF(AND(I9=6,I14=1,C45=30),"NAS 581","ERROR"))))</f>
        <v>ERROR</v>
      </c>
      <c r="K37" s="12"/>
      <c r="L37" s="12"/>
      <c r="M37" s="12"/>
      <c r="N37" s="12"/>
      <c r="O37" s="12"/>
      <c r="P37" s="12"/>
      <c r="Q37" s="12"/>
      <c r="R37" s="12"/>
    </row>
    <row r="38" spans="1:18" ht="13.5" thickBot="1">
      <c r="A38" s="35"/>
      <c r="B38" s="35"/>
      <c r="C38" s="28"/>
      <c r="D38" s="35"/>
      <c r="E38" s="28"/>
      <c r="F38" s="35"/>
      <c r="G38" s="35"/>
      <c r="H38" s="28"/>
      <c r="I38" s="35"/>
      <c r="J38" s="22">
        <f>IF(OR(I9=5,I9=7),"N/A",IF(AND(I9=4,C45=45),N22,IF(AND(I9=4,I14=1,I29=8),M15,IF(AND(I9=4,I14=1,I29=9),N15,IF(AND(I9=4,I14=1,I29=10),O15,IF(AND(I9=4,I14=2),M12,F35))))))</f>
        <v>0.0481</v>
      </c>
      <c r="K38" s="12"/>
      <c r="L38" s="12"/>
      <c r="M38" s="12"/>
      <c r="N38" s="12"/>
      <c r="O38" s="12"/>
      <c r="P38" s="12"/>
      <c r="Q38" s="12"/>
      <c r="R38" s="12">
        <f>IF(AND(I14=1,C44=16,C43=98),14.8,IF(AND(I14=1,C44=16,C43=99),14.9,IF(AND(I14=1,C44=16,C43=100),15,IF(AND(I14=1,C44=24,C43&gt;=6,C43&lt;=10),8,IF(AND(I14=1,C44=24,C43=11),8.5,IF(AND(I14=1,C44=24,C43&gt;=12,C43&lt;=25),9,IF(AND(I14=1,C44=24,C43=26),9.2,R39)))))))</f>
        <v>9</v>
      </c>
    </row>
    <row r="39" spans="1:18" ht="12.75">
      <c r="A39" s="114" t="s">
        <v>58</v>
      </c>
      <c r="B39" s="115"/>
      <c r="C39" s="115"/>
      <c r="D39" s="115"/>
      <c r="E39" s="115"/>
      <c r="F39" s="115"/>
      <c r="G39" s="115"/>
      <c r="H39" s="115"/>
      <c r="I39" s="116"/>
      <c r="J39" s="22">
        <f>IF(OR(I9=5,I9=7),"N/A",IF(AND(I9=4,C45=45),N23,IF(AND(I9=4,I14=1,I29=8),M14,IF(AND(I9=4,I14=1,I29=9),N14,IF(AND(I9=4,I14=1,I29=10),O14,IF(AND(I9=4,I14=2),J16,G35))))))</f>
        <v>0.0472</v>
      </c>
      <c r="K39" s="12"/>
      <c r="L39" s="12"/>
      <c r="M39" s="12"/>
      <c r="N39" s="12"/>
      <c r="O39" s="12"/>
      <c r="P39" s="12"/>
      <c r="Q39" s="12"/>
      <c r="R39" s="12">
        <f>IF(AND(I14=1,C44=24,C43=27),9.4,IF(AND(I14=1,C44=24,C43=28),9.6,IF(AND(I14=1,C44=24,C43=29),9.8,IF(AND(I14=1,C44=24,C43&gt;=30,C43&lt;=50),10,IF(AND(I14=1,C44=24,C43=51),10.1,IF(AND(I14=1,C44=24,C43=52),10.2,IF(AND(I14=1,C44=24,C43=53),10.3,R40)))))))</f>
        <v>9</v>
      </c>
    </row>
    <row r="40" spans="1:18" ht="13.5" thickBot="1">
      <c r="A40" s="117"/>
      <c r="B40" s="118"/>
      <c r="C40" s="118"/>
      <c r="D40" s="118"/>
      <c r="E40" s="118"/>
      <c r="F40" s="118"/>
      <c r="G40" s="118"/>
      <c r="H40" s="118"/>
      <c r="I40" s="119"/>
      <c r="J40" s="12"/>
      <c r="K40" s="12"/>
      <c r="L40" s="12"/>
      <c r="M40" s="12"/>
      <c r="N40" s="12"/>
      <c r="O40" s="12"/>
      <c r="P40" s="12"/>
      <c r="Q40" s="12"/>
      <c r="R40" s="12">
        <f>IF(AND(I14=1,C44=24,C43=54),10.4,IF(AND(I14=1,C44=24,C43=55),10.5,IF(AND(I14=1,C44=24,C43=56),10.6,IF(AND(I14=1,C44=24,C43=57),10.7,IF(AND(I14=1,C44=24,C43=58),10.8,IF(AND(I14=1,C44=24,C43=59),10.9,IF(AND(I14=1,C44=24,C43&gt;=60,C43&lt;=80),11,R41)))))))</f>
        <v>9</v>
      </c>
    </row>
    <row r="41" spans="1:18" ht="12.75">
      <c r="A41" s="112" t="str">
        <f>IF(AND(I9=5,I14=1),"External Serration",IF(AND(I9=5,I14=2),"Internal Serration",IF(AND(I14=1,I34&lt;&gt;45),"External Spline",IF(AND(I14=2,I34&lt;&gt;45),"Internal Spline",IF(AND(I14=1,I34=45),"External Serration",IF(AND(I14=2,I34=45),"Internal Serration","ERROR"))))))</f>
        <v>External Spline</v>
      </c>
      <c r="B41" s="112"/>
      <c r="C41" s="112" t="str">
        <f>IF(I19=1,"Flat Root Side Fit",IF(OR(I19=2,I9=5,I9=6),"Fillet Root Side Fit",IF(I19=3,"Flat Root Major Dia Fit",IF(I9=7,"Fillet Root Type","N/A"))))</f>
        <v>Fillet Root Side Fit</v>
      </c>
      <c r="D41" s="112"/>
      <c r="E41" s="112"/>
      <c r="F41" s="112" t="str">
        <f>IF(I9=1,"ANSI B92.1-1970",IF(I9=2,"ANSI B92.1-1996",IF(I9=3,"ASA B5.15-1960",IF(I9=4,"SAE STANDARD-1950",IF(I9=5,"SAE J500",IF(I9=7,"Lockheed Design Std.",J37))))))</f>
        <v>ANSI B92.1-1996</v>
      </c>
      <c r="G41" s="112"/>
      <c r="H41" s="112"/>
      <c r="I41" s="44" t="str">
        <f>IF(I29=1,"Class 1",IF(I29=2,"Class 2",IF(I29=4,"Class 4",IF(I29=5,"Class 5",IF(I29=6,"Class 6",IF(I29=7,"Class 7"," "))))))</f>
        <v>Class 4</v>
      </c>
      <c r="J41" s="12"/>
      <c r="K41" s="12"/>
      <c r="L41" s="12"/>
      <c r="M41" s="12"/>
      <c r="N41" s="12"/>
      <c r="O41" s="12"/>
      <c r="P41" s="12"/>
      <c r="Q41" s="12"/>
      <c r="R41" s="12">
        <f>IF(AND(I14=1,C44=24,C43=81),11.1,IF(AND(I14=1,C44=24,C43=82),11.2,IF(AND(I14=1,C44=24,C43=83),11.3,IF(AND(I14=1,C44=24,C43=84),11.4,IF(AND(I14=1,C44=24,C43=85),11.5,IF(AND(I14=1,C44=24,C43=86),11.6,IF(AND(I14=1,C44=24,C43=87),11.7,R42)))))))</f>
        <v>9</v>
      </c>
    </row>
    <row r="42" spans="1:18" ht="12.75">
      <c r="A42" s="113"/>
      <c r="B42" s="113"/>
      <c r="C42" s="113"/>
      <c r="D42" s="113"/>
      <c r="E42" s="113"/>
      <c r="F42" s="113"/>
      <c r="G42" s="113"/>
      <c r="H42" s="113"/>
      <c r="I42" s="45" t="str">
        <f>IF(I29=8,"Class A",IF(I29=9,"Class B",IF(I29=10,"Class C"," ")))</f>
        <v> </v>
      </c>
      <c r="J42" s="12"/>
      <c r="K42" s="12"/>
      <c r="L42" s="12"/>
      <c r="M42" s="12"/>
      <c r="N42" s="12"/>
      <c r="O42" s="12"/>
      <c r="P42" s="12"/>
      <c r="Q42" s="12"/>
      <c r="R42" s="12">
        <f>IF(AND(I14=1,C44=24,C43=88),11.8,IF(AND(I14=1,C44=24,C43=89),11.9,IF(AND(I14=1,C44=24,C43&gt;=90,C43&lt;=100),12,IF(AND(I14=1,C44&gt;=32,C43&gt;=6,C43&lt;=16),8,IF(AND(I14=1,C44&gt;=32,C43=17),8.25,IF(AND(I14=1,C44&gt;=32,C43=18),8.5,IF(AND(I14=1,C44&gt;=32,C43=19),8.75,R43)))))))</f>
        <v>9</v>
      </c>
    </row>
    <row r="43" spans="1:18" ht="12.75">
      <c r="A43" s="75">
        <f>ROUND((IF(I14=1,(C46*0.0002+0.0003),(C46*0.0003+0.001))),5)</f>
        <v>0.00047</v>
      </c>
      <c r="B43" s="46" t="s">
        <v>25</v>
      </c>
      <c r="C43" s="47">
        <f>IF(I9=5,K30,IF(I9=7,K47,C34))</f>
        <v>27</v>
      </c>
      <c r="D43" s="48"/>
      <c r="E43" s="46" t="s">
        <v>40</v>
      </c>
      <c r="F43" s="49">
        <f>IF(OR(I9=5,I9=6,I9=7),"N/A",IF(AND(I9=4,C45=45),(Q20*0.0001),IF(AND(I9=3,I34=45),K8,IF(I9=4,L16,F33))))</f>
        <v>0.00092</v>
      </c>
      <c r="G43" s="48"/>
      <c r="H43" s="46" t="s">
        <v>29</v>
      </c>
      <c r="I43" s="50">
        <f>IF(I9=6,J36,IF(AND(I9=5,I14=1),L29,IF(AND(I9=5,I14=2),M27,IF(AND(I9=4,I14=2,C45=45),J19,IF(AND(I9=4,I14=1,C45=45),N19,IF(I9=7,REF!I43,K43))))))</f>
        <v>0.872</v>
      </c>
      <c r="J43" s="16">
        <f>IF(AND(I9=3,I14=1,I34=45),M9,IF(AND(I9=3,I14=2,I34=45),N5,J49))</f>
        <v>0.872</v>
      </c>
      <c r="K43" s="16">
        <f>IF(AND(I9=4,I14=2,I19=3),L10,IF(AND(I9=4,I14=2,I19=1),L11,IF(AND(I9=4,I14=2,I19=2),J12,IF(AND(I9=4,I14=1,I19&lt;&gt;3),L13,IF(AND(I9=4,I14=1,I19=3,I22=1),J18,IF(AND(I9=4,I14=1,I19=3,I22=2),K18,IF(AND(I9=4,I14=1,I19=3,I22=3),L17,J43)))))))</f>
        <v>0.872</v>
      </c>
      <c r="L43" s="12"/>
      <c r="M43" s="12"/>
      <c r="N43" s="12"/>
      <c r="O43" s="12"/>
      <c r="P43" s="12"/>
      <c r="Q43" s="12"/>
      <c r="R43" s="12">
        <f>IF(AND(I14=1,C44&gt;=32,C43&gt;=20,C43&lt;=40),9,IF(AND(I14=1,C44&gt;=32,C43=41),9.2,IF(AND(I14=1,C44&gt;=32,C43=42),9.4,IF(AND(I14=1,C44&gt;=32,C43=43),9.6,IF(AND(I14=1,C44&gt;=32,C43=44),9.8,IF(AND(I14=1,C44&gt;=32,C43&gt;=45,C43&lt;=60),10,IF(AND(I14=2,C44=10,C43=6),11,R44)))))))</f>
        <v>9</v>
      </c>
    </row>
    <row r="44" spans="1:18" ht="12.75">
      <c r="A44" s="75">
        <f>ROUND((IF(AND(I14=2,I19=1,I34=30),(C43+1.35)/C44,IF(AND(I14=2,I19=2,I34=30),(C43+1.8)/C44,IF(AND(I14=2,I19=3,I34=30),(C43+1)/C44,IF(AND(I14=2,I34=37.5),((C43+1.6)/C44),IF(AND(I14=2,I34=45),((C43+1.4)/C44),(C43+1)/C44)))))),4)</f>
        <v>0.875</v>
      </c>
      <c r="B44" s="46" t="s">
        <v>26</v>
      </c>
      <c r="C44" s="47">
        <f>IF(I9=5,(C43/C46),IF(I9=7,REF!C44,F34))</f>
        <v>32</v>
      </c>
      <c r="D44" s="48"/>
      <c r="E44" s="46" t="s">
        <v>33</v>
      </c>
      <c r="F44" s="50">
        <f>IF(AND(I9=6,I14=2,C45=45),O32,IF(AND(I9=6,I14=2,C45=30),O35,J38))</f>
        <v>0.0481</v>
      </c>
      <c r="G44" s="48"/>
      <c r="H44" s="46" t="s">
        <v>30</v>
      </c>
      <c r="I44" s="50">
        <f>IF(I9=6,K36,IF(AND(I9=5,I14=1),K29,IF(AND(I9=5,I14=2),"N/A",IF(AND(I9=4,I14=2,C45=45),K19,IF(AND(I9=4,I14=1,C45=45),M19,IF(I9=7,REF!I44,K44))))))</f>
        <v>0.875</v>
      </c>
      <c r="J44" s="24">
        <f>IF(AND(I9=3,I14=1,I34=45),L7,IF(AND(I9=3,I14=2,I34=45),M8,J50))</f>
        <v>0.875</v>
      </c>
      <c r="K44" s="16">
        <f>IF(AND(I9=4,I14=2,I19=3),M10,IF(AND(I9=4,I14=2,I19=1),M11,IF(AND(I9=4,I14=2,I19=2),K12,IF(AND(I9=4,I14=1,I19&lt;&gt;3),M13,IF(AND(I9=4,I14=1,I19=3,I22=1),J17,IF(AND(I9=4,I14=1,I19=3,I22=2),K17,IF(AND(I9=4,I14=1,I19=3,I22=3),L18,J44)))))))</f>
        <v>0.875</v>
      </c>
      <c r="L44" s="12"/>
      <c r="M44" s="12"/>
      <c r="N44" s="12"/>
      <c r="O44" s="12"/>
      <c r="P44" s="12"/>
      <c r="Q44" s="12"/>
      <c r="R44" s="12" t="str">
        <f>IF(AND(I14=2,C44=10,C43=7),10.5,IF(AND(I14=2,C44=10,C43=8),10,IF(AND(I14=2,C44=10,C43=9),9.5,IF(AND(I14=2,C44=10,C43&gt;=10,C43&lt;=14),9,IF(AND(I14=2,C44=10,C43=15),9.5,IF(AND(I14=2,C44=10,C43&gt;=16,C43&lt;=25),10,IF(AND(I14=2,C44=10,C43=26),10.2,R45)))))))</f>
        <v>N/A</v>
      </c>
    </row>
    <row r="45" spans="1:18" ht="12.75">
      <c r="A45" s="76">
        <f>IF(AND(I14=1,C44&gt;63),C33-0.002,IF(AND(I14=1,C44&gt;31),C33-0.003,IF(AND(I14=1,C44&gt;5),C33-0.005,IF(AND(I14=1,C44&gt;4),C33+0.008,IF(AND(I14=1,C44&gt;3),C33+0.01,IF(AND(I14=1,C44&gt;2.5),C33+0.015,IF(AND(I14=1,C44=2.5),C33+0.02)))))))</f>
        <v>0.872</v>
      </c>
      <c r="B45" s="46" t="s">
        <v>27</v>
      </c>
      <c r="C45" s="47">
        <f>IF(I9=5,J30,IF(I9=7,REF!C45,I34))</f>
        <v>30</v>
      </c>
      <c r="D45" s="48"/>
      <c r="E45" s="46" t="s">
        <v>34</v>
      </c>
      <c r="F45" s="50">
        <f>IF(AND(I9=6,I14=1,C45=45),O33,IF(AND(I9=6,I14=1,C45=30),O34,J39))</f>
        <v>0.0472</v>
      </c>
      <c r="G45" s="48"/>
      <c r="H45" s="46" t="s">
        <v>31</v>
      </c>
      <c r="I45" s="50">
        <f>IF(I9=6,L36,IF(AND(I9=5,I14=1),"N/A",IF(AND(I9=5,I14=2),M28,IF(AND(I9=4,I14=1,C45=45),P19,IF(AND(I9=4,I14=2,C45=45),J24,IF(I9=7,REF!I45,K45))))))</f>
        <v>0.769</v>
      </c>
      <c r="J45" s="16">
        <f>IF(AND(I9=3,I14=1,I34=45),N9,IF(AND(I9=3,I14=2,I34=45),K6,J51))</f>
        <v>0.769</v>
      </c>
      <c r="K45" s="16">
        <f>IF(AND(I9=4,I14=2,I19&lt;&gt;4),J11,IF(AND(I9=4,I14=2,I19=4,I22=1),M18,IF(AND(I9=4,I14=2,I19=4,I22=2),O18,IF(AND(I9=4,I14=2,I19=4,I22=3),R18,IF(AND(I9=4,I14=1,I19&lt;&gt;2),N13,IF(AND(I9=4,I14=1,I19=2),J13,J45))))))</f>
        <v>0.769</v>
      </c>
      <c r="L45" s="16">
        <f>IF(AND(I9=4,I14=2,I19&lt;&gt;4),K11,IF(AND(I9=4,I14=2,I19=4,I22=1),N18,IF(AND(I9=4,I14=2,I19=4,I22=2),P18,IF(AND(I9=4,I14=2,I19=4,I22=3),Q18,IF(AND(I9=4,I14=1,I19&lt;&gt;2),N12,IF(AND(I9=4,I14=1,I19=2),K13,N46))))))</f>
        <v>0.781</v>
      </c>
      <c r="M45" s="12"/>
      <c r="N45" s="12"/>
      <c r="O45" s="12"/>
      <c r="P45" s="12"/>
      <c r="Q45" s="12"/>
      <c r="R45" s="12" t="str">
        <f>IF(AND(I14=2,C44=10,C43=27),10.4,IF(AND(I14=2,C44=10,C43=28),10.6,IF(AND(I14=2,C44=10,C43=29),10.8,IF(AND(I14=2,C44=10,C43=30),11,IF(AND(I14=2,C44=10,C43=31),11.2,IF(AND(I14=2,C44=10,C43=32),11.4,IF(AND(I14=2,C44=10,C43=33),11.6,R46)))))))</f>
        <v>N/A</v>
      </c>
    </row>
    <row r="46" spans="1:18" ht="12.75">
      <c r="A46" s="76" t="str">
        <f>IF(AND(I14=2,F34&gt;63),D33+0.002,IF(AND(I14=2,F34&gt;31),D33+0.003,IF(AND(I14=2,F34&gt;5),D33+0.005,IF(AND(I14=2,F34&gt;4),D33+0.008,IF(AND(I14=2,F34&gt;3),D33+0.01,IF(AND(I14=2,F34&gt;2.5),D33+0.015,IF(AND(I14=2,F34=2.5),D33+0.02,"NA")))))))</f>
        <v>NA</v>
      </c>
      <c r="B46" s="46" t="s">
        <v>28</v>
      </c>
      <c r="C46" s="51">
        <f>IF(I9=5,J27,ROUND((C43/C44),7))</f>
        <v>0.84375</v>
      </c>
      <c r="D46" s="48"/>
      <c r="E46" s="46" t="s">
        <v>35</v>
      </c>
      <c r="F46" s="50">
        <f>IF(OR(I9=5,I9=7),"N/A",IF(AND(I9=4,C45=45),O22,IF(AND(I9=4,I14=1,I29=8),J14,IF(AND(I9=4,I14=1,I29=9),K14,IF(AND(I9=4,I14=1,I29=10),L14,IF(AND(I9=4,I14=2),K16,H35))))))</f>
        <v>0.0491</v>
      </c>
      <c r="G46" s="48"/>
      <c r="H46" s="46" t="s">
        <v>32</v>
      </c>
      <c r="I46" s="50">
        <f>IF(I9=6,M36,IF(AND(I9=5,I14=1),J29,IF(AND(I9=5,I14=2),J28,IF(AND(I9=4,I14=1,C45=45),O19,IF(AND(I9=4,I14=2,C45=45),K24,IF(I9=7,REF!I46,L45))))))</f>
        <v>0.781</v>
      </c>
      <c r="J46" s="16">
        <f>IF(AND(F34&lt;21,(A35&lt;(C47+0.01))),C47+0.01,IF(AND(F34&gt;20,(A35&lt;(C47+0.006))),C47+0.006,A35))</f>
        <v>0.8085</v>
      </c>
      <c r="K46" s="16">
        <f>IF(AND(I19&lt;&gt;2,G33&gt;J46),G33,IF(AND(I19=2,H33&gt;J46),H33,J46))</f>
        <v>0.8085</v>
      </c>
      <c r="L46" s="16">
        <f>K46+(2*K57)</f>
        <v>0.8125</v>
      </c>
      <c r="M46" s="16">
        <f>IF(F34&gt;63,J51+0.002,IF(F34&gt;31,J51+0.003,IF(F34&gt;5,J51+0.005,IF(F34&gt;4,J51+0.008,IF(F34&gt;3,J51+0.01,IF(F34&gt;2.5,J51+0.015,J51+0.02))))))</f>
        <v>0.772</v>
      </c>
      <c r="N46" s="16">
        <f>IF(AND(I9=3,I14=1,I34=45),N7,IF(AND(I9=3,I14=2,I34=45),N8,J52))</f>
        <v>0.781</v>
      </c>
      <c r="O46" s="12"/>
      <c r="P46" s="12"/>
      <c r="Q46" s="12"/>
      <c r="R46" s="12" t="str">
        <f>IF(AND(I14=2,C44=10,C43=34),11.8,IF(AND(I14=2,C44=10,C43&gt;=35,C43&lt;=40),12,IF(AND(I14=2,C44=10,C43=41),12.2,IF(AND(I14=2,C44=10,C43=42),12.4,IF(AND(I14=2,C44=10,C43=43),12.6,IF(AND(I14=2,C44=10,C43=44),12.8,IF(AND(I14=2,C44=10,C43&gt;=45,C43&lt;=50),13,R47)))))))</f>
        <v>N/A</v>
      </c>
    </row>
    <row r="47" spans="1:18" ht="12.75" customHeight="1">
      <c r="A47" s="75"/>
      <c r="B47" s="46" t="s">
        <v>41</v>
      </c>
      <c r="C47" s="51">
        <f>IF(OR(I9=5,I9=7),"N/A",ROUND((C46*(COS(C45*(PI()/180)))),7))</f>
        <v>0.7307089</v>
      </c>
      <c r="D47" s="48"/>
      <c r="E47" s="46" t="s">
        <v>36</v>
      </c>
      <c r="F47" s="50">
        <f>IF(OR(I9=5,I9=7),"N/A",IF(AND(I9=4,C45=45),O23,IF(AND(I9=4,I14=1,I29=8),J15,IF(AND(I9=4,I14=1,I29=9),K15,IF(AND(I9=4,I14=1,I29=10),L15,IF(AND(I9=4,I14=2),L12,I35))))))</f>
        <v>0.0482</v>
      </c>
      <c r="G47" s="48"/>
      <c r="H47" s="46" t="s">
        <v>42</v>
      </c>
      <c r="I47" s="50">
        <f>IF(I9=6,N36,IF(OR(I9=5,I9=7),"N/A",IF(AND(I9=4,I14=1,C45=45),Q19,IF(AND(I9=4,I14=2,C45=45),L19,J47))))</f>
        <v>0.808</v>
      </c>
      <c r="J47" s="16">
        <f>IF(AND(I9=4,I14=2,I19&lt;&gt;3),N11,IF(AND(I9=4,I14=2,I19=3),N10,IF(AND(I9=4,I14=1),J11,IF(AND(I9=3,I34=45,I14=1),M7,IF(AND(I9=3,I34=45,I14=2),J6,J53)))))</f>
        <v>0.808</v>
      </c>
      <c r="K47" s="12" t="str">
        <f>IF(OR(I12=306,I12=6),11,L47)</f>
        <v>ERROR</v>
      </c>
      <c r="L47" s="12" t="str">
        <f>IF(OR(I12=307,I12=7,I12=314,I12=14,I12=328,I12=28),13,M47)</f>
        <v>ERROR</v>
      </c>
      <c r="M47" s="12" t="str">
        <f>IF(OR(I12=308,I12=8,I12=316,I12=16,I12=332,I12=32),15,N47)</f>
        <v>ERROR</v>
      </c>
      <c r="N47" s="12" t="str">
        <f>IF(OR(I12=310,I12=10,I12=320,I12=20,I12=340,I12=40),19,O47)</f>
        <v>ERROR</v>
      </c>
      <c r="O47" s="12" t="str">
        <f>IF(OR(I12=312,I12=12,I12=324,I12=24,I12=348,I12=48),23,P47)</f>
        <v>ERROR</v>
      </c>
      <c r="P47" s="12" t="str">
        <f>IF(OR(I12=318,I12=18,I12=336,I12=36),17,Q47)</f>
        <v>ERROR</v>
      </c>
      <c r="Q47" s="12" t="str">
        <f>IF(OR(I12=322,I12=22,I12=344,I12=44),21,K48)</f>
        <v>ERROR</v>
      </c>
      <c r="R47" s="12" t="str">
        <f>IF(AND(I14=2,C44=10,C43=51),13.1,IF(AND(I14=2,C44=10,C43=52),13.2,IF(AND(I14=2,C44=10,C43=53),13.3,IF(AND(I14=2,C44=10,C43=54),13.4,IF(AND(I14=2,C44=10,C43=55),13.5,IF(AND(I14=2,C44=10,C43=56),13.6,IF(AND(I14=2,C44=10,C43=57),13.7,R48)))))))</f>
        <v>N/A</v>
      </c>
    </row>
    <row r="48" spans="1:18" ht="12.75" customHeight="1">
      <c r="A48" s="77">
        <f>IF(I14=1,((F44/C46)+(((TAN(C45*(PI()/180)))-(C45*(PI()/180)))+(H48/C47)-(PI()/C43))),((F44/C46)+(((TAN(C45*(PI()/180)))-(C45*(PI()/180)))-(H48/C47))))</f>
        <v>0.0765156596876733</v>
      </c>
      <c r="B48" s="47"/>
      <c r="C48" s="46" t="s">
        <v>37</v>
      </c>
      <c r="D48" s="50">
        <f>IF(AND(I9=6,I14=2,C45=45),F48-0.001,IF(AND(I9=6,I14=2,C45=30,C44&lt;&gt;8),F48-0.0018,IF(AND(I9=6,I14=2,C45=30,C44=8),F48-0.0026,IF(I9=7,REF!D48,B51))))</f>
        <v>0.9325</v>
      </c>
      <c r="E48" s="52" t="s">
        <v>43</v>
      </c>
      <c r="F48" s="50">
        <f>IF(AND(I9=6,I14=1,C45=45),B51+0.001,IF(AND(I9=6,I14=1,C45=30,C44&lt;&gt;32),B51+0.0023,IF(AND(I9=6,I14=1,C45=30,C44=32),B51+0.0015,IF(I9=7,REF!F48,C51))))</f>
        <v>0.9339</v>
      </c>
      <c r="G48" s="52" t="s">
        <v>38</v>
      </c>
      <c r="H48" s="53">
        <f>IF(AND(I9=5,I14=1),M30,IF(AND(I9=5,I14=2),M29,IF(OR(I14=1,I34=45),(1.92/C44),IF(I9=7,REF!H48,(1.728/C44)))))</f>
        <v>0.06</v>
      </c>
      <c r="I48" s="52" t="s">
        <v>39</v>
      </c>
      <c r="J48" s="12"/>
      <c r="K48" s="12" t="str">
        <f>IF(I12=321,20,(IF(I12=356,27,(IF(I12=360,29,(IF(I12=364,31,(IF(I12=372,35,(IF(I12=378,38,(IF(I12=380,39,(IF(I12=384,41,L48)))))))))))))))</f>
        <v>ERROR</v>
      </c>
      <c r="L48" s="12" t="str">
        <f>IF(I12=388,43,(IF(I12=394,46,(IF(I12=396,47,(IF(I12=406,52,M48)))))))</f>
        <v>ERROR</v>
      </c>
      <c r="M48" s="12" t="str">
        <f>IF(I12=21,20,(IF(I12=56,27,(IF(I12=60,29,(IF(I12=64,31,(IF(I12=72,35,(IF(I12=78,38,(IF(I12=80,39,(IF(I12=84,41,N48)))))))))))))))</f>
        <v>ERROR</v>
      </c>
      <c r="N48" s="12" t="str">
        <f>IF(I12=88,43,(IF(I12=94,46,(IF(I12=96,47,(IF(I12=106,52,"ERROR")))))))</f>
        <v>ERROR</v>
      </c>
      <c r="O48" s="12"/>
      <c r="P48" s="12"/>
      <c r="Q48" s="12"/>
      <c r="R48" s="12" t="str">
        <f>IF(AND(I14=2,C44=10,C43=58),13.8,IF(AND(I14=2,C44=10,C43=59),13.9,IF(AND(I14=2,C44=10,C43=60),14,IF(AND(I14=2,C44=10,C43=61),14.2,IF(AND(I14=2,C44=10,C43=62),14.4,IF(AND(I14=2,C44=10,C43=63),14.6,IF(AND(I14=2,C44=10,C43=64),14.8,R49)))))))</f>
        <v>N/A</v>
      </c>
    </row>
    <row r="49" spans="1:18" ht="12.75" customHeight="1">
      <c r="A49" s="77">
        <f>IF(I14=1,((F44/C46)+(((TAN(C45*(PI()/180)))-(C45*(PI()/180)))+(H49/C47)-(PI()/C43))),((F44/C46)+(((TAN(C45*(PI()/180)))-(C45*(PI()/180)))-(H49/C47))))</f>
        <v>0.06830445547215055</v>
      </c>
      <c r="B49" s="47"/>
      <c r="C49" s="46" t="s">
        <v>37</v>
      </c>
      <c r="D49" s="50">
        <f>IF(AND(I9=6,I14=2,C45=45),F49-0.001,IF(AND(I9=6,I14=2,C45=30,C44&lt;&gt;8),F49-0.0018,IF(AND(I9=6,I14=2,C45=30,C44=8),F49-0.0026,IF(I9=5,F49-(F48-D48),B52))))</f>
        <v>0.9154</v>
      </c>
      <c r="E49" s="52" t="s">
        <v>43</v>
      </c>
      <c r="F49" s="50">
        <f>IF(AND(I9=6,I14=1,C45=45),B52+0.001,IF(AND(I9=6,I14=1,C45=30,C44&lt;&gt;32),B52+0.0023,IF(AND(I9=6,I14=1,C45=30,C44=32),B52+0.0015,IF(AND(I9=5,I14=1),F48+C54,IF(AND(I9=5,I14=2),F48-C54,C52)))))</f>
        <v>0.9168</v>
      </c>
      <c r="G49" s="52" t="s">
        <v>38</v>
      </c>
      <c r="H49" s="53">
        <f>IF(I9=5,ROUNDUP((H48+0.001),3),IF(OR(I14=1,I34=45),(1.728/C44),IF(I9=7,REF!H49,(1.68/C44))))</f>
        <v>0.054</v>
      </c>
      <c r="I49" s="52" t="s">
        <v>39</v>
      </c>
      <c r="J49" s="16">
        <f>IF(AND(I9=3,I14=1),J5,IF(AND(I9=3,I14=2,I19&lt;&gt;2),K1,IF(AND(I9=3,I14=2,I19=2),L1,IF(I19=3,ROUND(B33,4),IF(AND(I19&lt;&gt;3,F34&lt;=48),ROUND(B33,3),ROUND(B33,4))))))</f>
        <v>0.872</v>
      </c>
      <c r="K49" s="12"/>
      <c r="L49" s="12"/>
      <c r="M49" s="12"/>
      <c r="N49" s="12"/>
      <c r="O49" s="12"/>
      <c r="P49" s="12"/>
      <c r="Q49" s="12"/>
      <c r="R49" s="12" t="str">
        <f>IF(AND(I14=2,C44=10,C43=65),15,IF(AND(I14=2,C44=10,C43=66),15.2,IF(AND(I14=2,C44=10,C43=67),15.4,IF(AND(I14=2,C44=10,C43=68),15.6,IF(AND(I14=2,C44=10,C43=69),15.8,IF(AND(I14=2,C44=10,C43=70),16,IF(AND(I14=2,C44=10,C43=71),16.1,R50)))))))</f>
        <v>N/A</v>
      </c>
    </row>
    <row r="50" spans="1:18" ht="12.75" customHeight="1">
      <c r="A50" s="77">
        <f>IF(I14=1,((F44/C46)+(((TAN(C45*(PI()/180)))-(C45*(PI()/180)))+(H50/C47)-(PI()/C43))),((F44/C46)+(((TAN(C45*(PI()/180)))-(C45*(PI()/180)))-(H50/C47))))</f>
        <v>0.06625165441826986</v>
      </c>
      <c r="B50" s="47"/>
      <c r="C50" s="46" t="s">
        <v>37</v>
      </c>
      <c r="D50" s="50">
        <f>IF(AND(I9=6,I14=2,C45=45),F50-0.001,IF(AND(I9=6,I14=2,C45=30,C44&lt;&gt;8),F50-0.0018,IF(AND(I9=6,I14=2,C45=30,C44=8),F50-0.0026,IF(I9=5,F50-(F48-D48),B53))))</f>
        <v>0.9111</v>
      </c>
      <c r="E50" s="52" t="s">
        <v>43</v>
      </c>
      <c r="F50" s="50">
        <f>IF(AND(I9=6,I14=1,C45=45),B53+0.001,IF(AND(I9=6,I14=1,C45=30,C44&lt;&gt;32),B53+0.0023,IF(AND(I9=6,I14=1,C45=30,C44=32),B53+0.0015,IF(AND(I9=5,I14=1),F48+C55,IF(AND(I9=5,I14=2),F48-C55,C53)))))</f>
        <v>0.9125</v>
      </c>
      <c r="G50" s="52" t="s">
        <v>38</v>
      </c>
      <c r="H50" s="53">
        <f>IF(I9=5,ROUNDUP((H48+0.002),3),IF(OR(I14=1,I34=45),(1.68/C44),IF(I9=7,REF!H50,(1.44/C44))))</f>
        <v>0.0525</v>
      </c>
      <c r="I50" s="52" t="s">
        <v>39</v>
      </c>
      <c r="J50" s="24">
        <f>IF(AND(I9=3,I14=1),K3,IF(AND(I9=3,I14=2),J4,IF(I19=3,ROUND(C33,4),IF(AND(I19&lt;&gt;3,F34&lt;=48),ROUND(C33,3),ROUND(C33,4)))))</f>
        <v>0.875</v>
      </c>
      <c r="K50" s="12"/>
      <c r="L50" s="12"/>
      <c r="M50" s="12"/>
      <c r="N50" s="12"/>
      <c r="O50" s="12"/>
      <c r="P50" s="12"/>
      <c r="Q50" s="12"/>
      <c r="R50" s="12" t="str">
        <f>IF(AND(I14=2,C44=10,C43=72),16.2,IF(AND(I14=2,C44=10,C43=73),16.3,IF(AND(I14=2,C44=10,C43=74),16.4,IF(AND(I14=2,C44=10,C43=75),16.5,IF(AND(I14=2,C44=10,C43=76),16.6,IF(AND(I14=2,C44=10,C43=77),16.7,IF(AND(I14=2,C44=10,C43=78),16.8,R51)))))))</f>
        <v>N/A</v>
      </c>
    </row>
    <row r="51" spans="1:18" ht="12.75">
      <c r="A51" s="12">
        <f>1.441*(A48^(1/3))-(0.374*A48)</f>
        <v>0.5831426914906075</v>
      </c>
      <c r="B51" s="21">
        <f>IF(AND(I9=5,I14=1),N30,IF(AND(I9=5,I14=2),N27,ROUND((IF(AND(I14=1,ISEVEN(C43)),(C47*((COS(A65))^-1)+H48),IF(AND(I14=1,ISODD(C43)),(C47*COS((90/C43)*(PI()/180)))*((COS(A65))^-1)+H48,IF(AND(I14=2,ISEVEN(C43)),(C47*((COS(A65))^-1)-H48),(C47*COS((90/C43)*(PI()/180)))*((COS(A65))^-1)-H48)))),4)))</f>
        <v>0.9325</v>
      </c>
      <c r="C51" s="21">
        <f>IF(AND(I9=5,I14=1),N29,IF(AND(I9=5,I14=2),N28,ROUND((IF(AND(I14=1,ISEVEN(C43)),(C47*((COS(A53))^-1)+H48),IF(AND(I14=1,ISODD(C43)),(C47*COS((90/C43)*(PI()/180)))*((COS(A53))^-1)+H48,IF(AND(I14=2,ISEVEN(C43)),(C47*((COS(A53))^-1)-H48),(C47*COS((90/C43)*(PI()/180)))*((COS(A53))^-1)-H48)))),4)))</f>
        <v>0.9339</v>
      </c>
      <c r="D51" s="11"/>
      <c r="E51" s="27"/>
      <c r="F51" s="11"/>
      <c r="G51" s="11"/>
      <c r="H51" s="11"/>
      <c r="I51" s="23"/>
      <c r="J51" s="16">
        <f>IF(AND(I9=3,I14=1),M3,IF(AND(I9=3,I14=2),J3,IF(AND(I14=1,F34&lt;=48),ROUND(D33,3),IF(AND(I14=1,F34&gt;48),ROUND(D33,4),IF(AND(I14=2,F34&lt;=48),ROUNDUP(L46,3),ROUNDUP(L46,4))))))</f>
        <v>0.769</v>
      </c>
      <c r="K51" s="12"/>
      <c r="L51" s="12"/>
      <c r="M51" s="12"/>
      <c r="N51" s="12"/>
      <c r="O51" s="12"/>
      <c r="P51" s="12"/>
      <c r="Q51" s="12"/>
      <c r="R51" s="12" t="str">
        <f>IF(AND(I14=2,C44=10,C43=79),16.9,IF(AND(I14=2,C44=10,C43=80),17,IF(AND(I14=2,C44=10,C43=81),17.1,IF(AND(I14=2,C44=10,C43=82),17.2,IF(AND(I14=2,C44=10,C43=83),17.3,IF(AND(I14=2,C44=10,C43=84),17.4,IF(AND(I14=2,C44=10,C43=85),17.5,R52)))))))</f>
        <v>N/A</v>
      </c>
    </row>
    <row r="52" spans="1:18" ht="12.75">
      <c r="A52" s="12">
        <f>A51+(A48-(TAN(A51)-A51))/((TAN(A51)^2))</f>
        <v>0.583117280062299</v>
      </c>
      <c r="B52" s="21">
        <f>IF(I9=5,"N/A",ROUND((IF(AND(I14=1,ISEVEN(C43)),(C47*((COS(A68))^-1)+H49),IF(AND(I14=1,ISODD(C43)),(C47*COS((90/C43)*(PI()/180)))*((COS(A68))^-1)+H49,IF(AND(I14=2,ISEVEN(C43)),(C47*((COS(A68))^-1)-H49),(C47*COS((90/C43)*(PI()/180)))*((COS(A68))^-1)-H49)))),4))</f>
        <v>0.9154</v>
      </c>
      <c r="C52" s="21">
        <f>IF(I9=5,"N/A",ROUND((IF(AND(I14=1,ISEVEN(C43)),(C47*((COS(A56))^-1)+H49),IF(AND(I14=1,ISODD(C43)),(C47*COS((90/C43)*(PI()/180)))*((COS(A56))^-1)+H49,IF(AND(I14=2,ISEVEN(C43)),(C47*((COS(A56))^-1)-H49),(C47*COS((90/C43)*(PI()/180)))*((COS(A56))^-1)-H49)))),4))</f>
        <v>0.9168</v>
      </c>
      <c r="D52" s="11"/>
      <c r="E52" s="27"/>
      <c r="F52" s="11"/>
      <c r="G52" s="11"/>
      <c r="H52" s="11"/>
      <c r="I52" s="11"/>
      <c r="J52" s="16">
        <f>IF(AND(I9=3,I14=1),L3,IF(AND(I9=3,I14=2),N4,IF(AND(I14=1,F34&lt;=48),ROUND(E33,3),IF(AND(I14=1,F34&gt;48),ROUND(E33,4),IF(AND(I14=2,F34&lt;=48),ROUNDUP(M46,3),ROUNDUP(M46,4))))))</f>
        <v>0.781</v>
      </c>
      <c r="K52" s="12"/>
      <c r="L52" s="12"/>
      <c r="M52" s="12"/>
      <c r="N52" s="12"/>
      <c r="O52" s="12"/>
      <c r="P52" s="12"/>
      <c r="Q52" s="12"/>
      <c r="R52" s="12" t="str">
        <f>IF(AND(I14=2,C44=10,C43=86),17.6,IF(AND(I14=2,C44=10,C43=87),17.7,IF(AND(I14=2,C44=10,C43=88),17.8,IF(AND(I14=2,C44=10,C43=89),17.9,IF(AND(I14=2,C44=10,C43=90),18,IF(AND(I14=2,C44=10,C43=91),18.1,IF(AND(I14=2,C44=10,C43=92),18.2,R53)))))))</f>
        <v>N/A</v>
      </c>
    </row>
    <row r="53" spans="1:18" ht="12.75">
      <c r="A53" s="12">
        <f>A52+(A48-(TAN(A52)-A52))/((TAN(A52)^2))</f>
        <v>0.5831172786573247</v>
      </c>
      <c r="B53" s="21">
        <f>IF(I9=5,"N/A",ROUND((IF(AND(I14=1,ISEVEN(C43)),(C47*((COS(A71))^-1)+H50),IF(AND(I14=1,ISODD(C43)),(C47*COS((90/C43)*(PI()/180)))*((COS(A71))^-1)+H50,IF(AND(I14=2,ISEVEN(C43)),(C47*((COS(A71))^-1)-H50),(C47*COS((90/C43)*(PI()/180)))*((COS(A71))^-1)-H50)))),4))</f>
        <v>0.9111</v>
      </c>
      <c r="C53" s="21">
        <f>IF(I9=5,"N/A",ROUND((IF(AND(I14=1,ISEVEN(C43)),(C47*((COS(A59))^-1)+H50),IF(AND(I14=1,ISODD(C43)),(C47*COS((90/C43)*(PI()/180)))*((COS(A59))^-1)+H50,IF(AND(I14=2,ISEVEN(C43)),(C47*((COS(A59))^-1)-H50),(C47*COS((90/C43)*(PI()/180)))*((COS(A59))^-1)-H50)))),4))</f>
        <v>0.9125</v>
      </c>
      <c r="D53" s="11"/>
      <c r="E53" s="11"/>
      <c r="F53" s="11"/>
      <c r="G53" s="11"/>
      <c r="H53" s="11"/>
      <c r="I53" s="11"/>
      <c r="J53" s="16">
        <f>IF(AND(I9=3,I14=1),J2,IF(AND(I9=3,I14=2,I19&lt;&gt;2),M1,IF(AND(I9=3,I14=2,I19=2),N1,IF(AND(I14=1,I19&lt;&gt;2,I33&lt;G33,G33&gt;(C47+0.01)),G33,IF(AND(I14=1,I19=2,I33&lt;H33,H33&gt;(C47+0.01)),H33,IF(AND(F34&lt;21,I33&lt;(C47+0.01)),(C47+0.01),IF(AND(F34&gt;20,I33&lt;(C47+0.006)),(C47+0.006),I33)))))))</f>
        <v>0.808</v>
      </c>
      <c r="K53" s="12"/>
      <c r="L53" s="12"/>
      <c r="M53" s="12"/>
      <c r="N53" s="12"/>
      <c r="O53" s="12"/>
      <c r="P53" s="12"/>
      <c r="Q53" s="12"/>
      <c r="R53" s="12" t="str">
        <f>IF(AND(I14=2,C44=10,C43=93),18.3,IF(AND(I14=2,C44=10,C43=94),18.4,IF(AND(I14=2,C44=10,C43=95),18.5,IF(AND(I14=2,C44=10,C43=96),18.6,IF(AND(I14=2,C44=10,C43=97),18.7,IF(AND(I14=2,C44=10,C43=98),18.8,IF(AND(I14=2,C44=10,C43=99),18.9,R54)))))))</f>
        <v>N/A</v>
      </c>
    </row>
    <row r="54" spans="1:18" ht="12.75">
      <c r="A54" s="12">
        <f>1.441*(A49^(1/3))-(0.374*A49)</f>
        <v>0.5634971236549473</v>
      </c>
      <c r="B54" s="12"/>
      <c r="C54" s="12">
        <f>IF(I14=2,((H49-H48)+((H49-H48)/(SIN((45-(180/C43))*(PI()/180))))),IF(I14=1,((H49-H48)+((H49-H48)/(COS(45*(PI()/180))))),"ERROR"))</f>
        <v>-0.014485281374238566</v>
      </c>
      <c r="D54" s="11"/>
      <c r="E54" s="11"/>
      <c r="F54" s="11"/>
      <c r="G54" s="11"/>
      <c r="H54" s="11"/>
      <c r="I54" s="11"/>
      <c r="J54" s="12"/>
      <c r="K54" s="12"/>
      <c r="L54" s="12"/>
      <c r="M54" s="12"/>
      <c r="N54" s="12"/>
      <c r="O54" s="12"/>
      <c r="P54" s="12"/>
      <c r="Q54" s="12"/>
      <c r="R54" s="12" t="str">
        <f>IF(AND(I14=2,C44=10,C43=100),19,IF(AND(I14=2,C44=16,C43=6),10,IF(AND(I14=2,C44=16,C43=7),9.5,IF(AND(I14=2,C44=16,C43&gt;=8,C43&lt;=25),9,IF(AND(I14=2,C44=16,C43=26),9.2,IF(AND(I14=2,C44=16,C43=27),9.4,IF(AND(I14=2,C44=16,C43=28),9.6,R55)))))))</f>
        <v>N/A</v>
      </c>
    </row>
    <row r="55" spans="1:18" ht="12.75">
      <c r="A55" s="12">
        <f>A54+(A49-(TAN(A54)-A54))/((TAN(A54)^2))</f>
        <v>0.5634209641176655</v>
      </c>
      <c r="B55" s="12"/>
      <c r="C55" s="12">
        <f>IF(I14=2,((H50-H48)+((H50-H48)/(SIN((45-(180/C43))*(PI()/180))))),IF(I14=1,((H50-H48)+((H50-H48)/(COS(45*(PI()/180))))),"ERROR"))</f>
        <v>-0.01810660171779821</v>
      </c>
      <c r="D55" s="11"/>
      <c r="E55" s="11"/>
      <c r="F55" s="11"/>
      <c r="G55" s="11"/>
      <c r="H55" s="11"/>
      <c r="I55" s="11"/>
      <c r="J55" s="12">
        <f>ROUND((IF(AND(I14=1,I19=3),((PI()/(2*F34))-K55))),5)</f>
        <v>0</v>
      </c>
      <c r="K55" s="12">
        <f>ROUND((IF(F34&gt;15,15,IF(F34&gt;9,((0.07*C43)+14),IF(F34&gt;5,((0.1*C43)+14),IF(F34&gt;3,((0.15*C43)+16),IF(F34&lt;=3,((0.2*C43)+18))))))*0.0001),5)</f>
        <v>0.0015</v>
      </c>
      <c r="L55" s="12"/>
      <c r="M55" s="12"/>
      <c r="N55" s="12"/>
      <c r="O55" s="12"/>
      <c r="P55" s="12"/>
      <c r="Q55" s="12"/>
      <c r="R55" s="12" t="str">
        <f>IF(AND(I14=2,C44=16,C43=29),9.8,IF(AND(I14=2,C44=16,C43&gt;=30,C43&lt;=40),10,IF(AND(I14=2,C44=16,C43=41),10.2,IF(AND(I14=2,C44=16,C43=42),10.4,IF(AND(I14=2,C44=16,C43=43),10.6,IF(AND(I14=2,C44=16,C43=44),10.8,IF(AND(I14=2,C44=16,C43&gt;=45,C43&lt;=50),11,R56)))))))</f>
        <v>N/A</v>
      </c>
    </row>
    <row r="56" spans="1:18" ht="12.75">
      <c r="A56" s="12">
        <f>A55+(A49-(TAN(A55)-A55))/((TAN(A55)^2))</f>
        <v>0.5634209512695759</v>
      </c>
      <c r="B56" s="12"/>
      <c r="C56" s="12"/>
      <c r="D56" s="11"/>
      <c r="E56" s="11"/>
      <c r="F56" s="11"/>
      <c r="G56" s="11"/>
      <c r="H56" s="11"/>
      <c r="I56" s="11"/>
      <c r="J56" s="12">
        <f>ROUND((IF(C44&gt;127,((0.05*C43)+9)*0.0001,IF(C44&gt;63,((0.06*C43)+9)*0.0001,IF(C44&gt;15,((0.07*C43)+11)*0.0001,IF(C44&gt;9,((0.1*C43)+11)*0.0001,IF(C44&gt;5,((0.15*C43)+11)*0.0001,IF(C44&gt;3,((0.15*C43)+13)*0.0001,IF(C44&gt;2,((0.18*C43)+14)*0.0001)))))))),5)</f>
        <v>0.00129</v>
      </c>
      <c r="K56" s="12">
        <f>ROUND((IF(C44&gt;127,((0.08*C43)+9)*0.0001,IF(C44&gt;63,((0.1*C43)+10)*0.0001,IF(C44&gt;23,((0.12*C43)+11)*0.0001,IF(C44&gt;15,((0.12*C43)+13)*0.0001,IF(C44&gt;9,((0.17*C43)+14)*0.0001,IF(C44&gt;5,((0.2*C43)+15)*0.0001,IF(C44&gt;3,((0.23*C43)+18)*0.0001,((0.35*C43)+20)*0.0001)))))))),5)</f>
        <v>0.00142</v>
      </c>
      <c r="L56" s="12">
        <f>ROUND((IF(I29=4,K56*0.71,IF(I29=6,K56*1.4,IF(I29=7,K56*2,IF(I29=8,"REF",IF(I29=9,"REF",IF(I29=10,"REF",K56))))))),5)</f>
        <v>0.00101</v>
      </c>
      <c r="M56" s="12"/>
      <c r="N56" s="12"/>
      <c r="O56" s="12"/>
      <c r="P56" s="12"/>
      <c r="Q56" s="12"/>
      <c r="R56" s="12" t="str">
        <f>IF(AND(I14=2,C44=16,C43=51),11.1,IF(AND(I14=2,C44=16,C43=52),11.2,IF(AND(I14=2,C44=16,C43=53),11.3,IF(AND(I14=2,C44=16,C43=54),11.4,IF(AND(I14=2,C44=16,C43=55),11.5,IF(AND(I14=2,C44=16,C43=56),11.6,IF(AND(I14=2,C44=16,C43=57),11.7,R57)))))))</f>
        <v>N/A</v>
      </c>
    </row>
    <row r="57" spans="1:18" ht="12.75">
      <c r="A57" s="12">
        <f>1.441*(A50^(1/3))-(0.374*A50)</f>
        <v>0.5583037765142413</v>
      </c>
      <c r="B57" s="12"/>
      <c r="C57" s="12"/>
      <c r="D57" s="11"/>
      <c r="E57" s="11"/>
      <c r="F57" s="11"/>
      <c r="G57" s="11"/>
      <c r="H57" s="11"/>
      <c r="I57" s="11"/>
      <c r="J57" s="12">
        <f>ROUND((IF(I34=45,((0.5*PI()+0.2)/C44),IF(I34=37.5,((0.5*PI()+0.1)/C44),(PI()/(2*C44))))),4)</f>
        <v>0.0491</v>
      </c>
      <c r="K57" s="16">
        <f>ROUND((IF(C46*0.001&lt;0.002,0.002,IF(C46*0.001&gt;0.01,0.01,C46*0.001))),5)</f>
        <v>0.002</v>
      </c>
      <c r="L57" s="12">
        <f>ROUND(((2*(m+lambda))/(TAN(C45*(PI()/180)))),5)</f>
        <v>0.00939</v>
      </c>
      <c r="M57" s="12"/>
      <c r="N57" s="12"/>
      <c r="O57" s="12"/>
      <c r="P57" s="12"/>
      <c r="Q57" s="12"/>
      <c r="R57" s="12" t="str">
        <f>IF(AND(I14=2,C44=16,C43=58),11.8,IF(AND(I14=2,C44=16,C43=59),11.9,IF(AND(I14=2,C44=16,C43=60),12,IF(AND(I14=2,C44=16,C43=61),12.1,IF(AND(I14=2,C44=16,C43=62),12.2,IF(AND(I14=2,C44=16,C43=63),12.3,IF(AND(I14=2,C44=16,C43=64),12.4,R58)))))))</f>
        <v>N/A</v>
      </c>
    </row>
    <row r="58" spans="1:18" ht="12.75">
      <c r="A58" s="12">
        <f>A57+(A50-(TAN(A57)-A57))/((TAN(A57)^2))</f>
        <v>0.5582174902407929</v>
      </c>
      <c r="B58" s="12"/>
      <c r="C58" s="12"/>
      <c r="D58" s="11"/>
      <c r="E58" s="11"/>
      <c r="F58" s="11"/>
      <c r="G58" s="11"/>
      <c r="H58" s="11"/>
      <c r="I58" s="11"/>
      <c r="J58" s="25" t="str">
        <f>IF(AND(I14=2,C44&gt;63),D33+0.002,IF(AND(I14=2,C44&gt;31),D33+0.003,IF(AND(I14=2,C44&gt;5),D33+0.005,IF(AND(I14=2,C44&gt;4),D33+0.008,IF(AND(I14=2,C44&gt;3),D33+0.01,IF(AND(I14=2,C44&gt;2.5),D33+0.015,IF(AND(I14=2,C44=2.5),D33+0.02,"N/A")))))))</f>
        <v>N/A</v>
      </c>
      <c r="K58" s="12" t="str">
        <f>IF(AND(I14=1,I19=1,C44&gt;79),(((2000/C44)+70)*0.0001),IF(AND(I14=1,I19=1,C44&gt;39),(((2000/C44)+80)*0.0001),IF(AND(I14=1,I19=1,C44&gt;11),(((2000/C44)+100)*0.0001),IF(AND(I14=1,I19=1,C44&gt;4),(((2000/C44)+130)*0.0001),IF(AND(I14=1,I19=1,C44&gt;3),(((2000/C44)+150)*0.0001),IF(AND(I14=1,I19=1,C44&gt;2.5),(((2000/C44)+200)*0.0001),IF(AND(I14=1,I19=1,C44=2.5),(((2000/C44)+250)*0.0001),"N/A")))))))</f>
        <v>N/A</v>
      </c>
      <c r="L58" s="25">
        <f>IF(AND(I14=2,C44&gt;63),D33+0.002,IF(AND(I14=2,C44&gt;31),D33+0.003,IF(AND(I14=2,C44&gt;5),D33+0.005,IF(AND(I14=2,C44&gt;4),D33+0.008,IF(AND(I14=2,C44&gt;3),D33+0.01,IF(AND(I14=2,C44&gt;2.5),D33+0.015,IF(AND(I14=2,C44=2.5),D33+0.02,D33)))))))</f>
        <v>0.768735</v>
      </c>
      <c r="M58" s="12"/>
      <c r="N58" s="12"/>
      <c r="O58" s="12"/>
      <c r="P58" s="12"/>
      <c r="Q58" s="12"/>
      <c r="R58" s="12" t="str">
        <f>IF(AND(I14=2,C44=16,C43=65),12.5,IF(AND(I14=2,C44=16,C43=66),12.6,IF(AND(I14=2,C44=16,C43=67),12.7,IF(AND(I14=2,C44=16,C43=68),12.8,IF(AND(I14=2,C44=16,C43=69),12.9,IF(AND(I14=2,C44=16,C43&gt;=70,C43&lt;=80),13,IF(AND(I14=2,C44=16,C43=81),13.1,R59)))))))</f>
        <v>N/A</v>
      </c>
    </row>
    <row r="59" spans="1:18" ht="12.75">
      <c r="A59" s="12">
        <f>A58+(A50-(TAN(A58)-A58))/((TAN(A58)^2))</f>
        <v>0.5582174736654666</v>
      </c>
      <c r="B59" s="12"/>
      <c r="C59" s="12"/>
      <c r="D59" s="11"/>
      <c r="E59" s="11"/>
      <c r="F59" s="11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12"/>
      <c r="R59" s="12" t="str">
        <f>IF(AND(I14=2,C44=16,C43=82),13.2,IF(AND(I14=2,C44=16,C43=83),13.3,IF(AND(I14=2,C44=16,C43=84),13.4,IF(AND(I14=2,C44=16,C43=85),13.5,IF(AND(I14=2,C44=16,C43=86),13.6,IF(AND(I14=2,C44=16,C43=87),13.7,IF(AND(I14=2,C44=16,C43=88),13.8,R60)))))))</f>
        <v>N/A</v>
      </c>
    </row>
    <row r="60" spans="1:18" ht="12.75">
      <c r="A60" s="26">
        <f>IF(I14=1,((F45/C46)+(((TAN(C45*(PI()/180)))-(C45*(PI()/180)))+(H48/C47)-(PI()/C43))),((F45/C46)+(((TAN(C45*(PI()/180)))-(C45*(PI()/180)))-(H48/C47))))</f>
        <v>0.07544899302100663</v>
      </c>
      <c r="B60" s="12"/>
      <c r="C60" s="12"/>
      <c r="D60" s="11"/>
      <c r="E60" s="11"/>
      <c r="F60" s="11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 t="str">
        <f>IF(AND(I14=2,C44=16,C43=89),13.9,IF(AND(I14=2,C44=16,C43=90),14,IF(AND(I14=2,C44=16,C43=91),14.1,IF(AND(I14=2,C44=16,C43=92),14.2,IF(AND(I14=2,C44=16,C43=93),14.3,IF(AND(I14=2,C44=16,C43=94),14.4,IF(AND(I14=2,C44=16,C43=95),14.5,R61)))))))</f>
        <v>N/A</v>
      </c>
    </row>
    <row r="61" spans="1:18" ht="12.75">
      <c r="A61" s="26">
        <f>IF(I14=1,((F45/C46)+(((TAN(C45*(PI()/180)))-(C45*(PI()/180)))+(H49/C47)-(PI()/C43))),((F45/C46)+(((TAN(C45*(PI()/180)))-(C45*(PI()/180)))-(H49/C47))))</f>
        <v>0.0672377888054839</v>
      </c>
      <c r="B61" s="12"/>
      <c r="C61" s="12"/>
      <c r="D61" s="11"/>
      <c r="E61" s="11"/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 t="str">
        <f>IF(AND(I14=2,C44=16,C43=96),14.6,IF(AND(I14=2,C44=16,C43=97),14.7,IF(AND(I14=2,C44=16,C43=98),14.8,IF(AND(I14=2,C44=16,C43=99),14.9,IF(AND(I14=2,C44=16,C43=100),15,IF(AND(I14=2,C44=24,C43=6),10,IF(AND(I14=2,C44=24,C43=7),9.5,R62)))))))</f>
        <v>N/A</v>
      </c>
    </row>
    <row r="62" spans="1:18" ht="12.75">
      <c r="A62" s="26">
        <f>IF(I14=1,((F45/C46)+(((TAN(C45*(PI()/180)))-(C45*(PI()/180)))+(H50/C47)-(PI()/C43))),((F45/C46)+(((TAN(C45*(PI()/180)))-(C45*(PI()/180)))-(H50/C47))))</f>
        <v>0.0651849877516032</v>
      </c>
      <c r="B62" s="12"/>
      <c r="C62" s="12"/>
      <c r="D62" s="11"/>
      <c r="E62" s="11"/>
      <c r="F62" s="11"/>
      <c r="G62" s="11"/>
      <c r="H62" s="11"/>
      <c r="I62" s="11"/>
      <c r="J62" s="12"/>
      <c r="K62" s="12"/>
      <c r="L62" s="12"/>
      <c r="M62" s="12"/>
      <c r="N62" s="12"/>
      <c r="O62" s="12"/>
      <c r="P62" s="12"/>
      <c r="Q62" s="12"/>
      <c r="R62" s="12" t="str">
        <f>IF(AND(I14=2,C44=24,C43&gt;=8,C43&lt;=35),9,IF(AND(I14=2,C44=24,C43=36),9.2,IF(AND(I14=2,C44=24,C43=37),9.4,IF(AND(I14=2,C44=24,C43=38),9.6,IF(AND(I14=2,C44=24,C43=39),9.8,IF(AND(I14=2,C44=24,C43&gt;=40,C43&lt;=50),10,IF(AND(I14=2,C44=24,C43=51),10.1,R63)))))))</f>
        <v>N/A</v>
      </c>
    </row>
    <row r="63" spans="1:18" ht="12.75">
      <c r="A63" s="12">
        <f>1.441*(A60^(1/3))-(0.374*A60)</f>
        <v>0.5806855668326963</v>
      </c>
      <c r="B63" s="12"/>
      <c r="C63" s="12"/>
      <c r="D63" s="11"/>
      <c r="E63" s="11"/>
      <c r="F63" s="11"/>
      <c r="G63" s="11"/>
      <c r="H63" s="11"/>
      <c r="I63" s="11"/>
      <c r="J63" s="12"/>
      <c r="K63" s="12"/>
      <c r="L63" s="12"/>
      <c r="M63" s="12"/>
      <c r="N63" s="12"/>
      <c r="O63" s="12"/>
      <c r="P63" s="12"/>
      <c r="Q63" s="12"/>
      <c r="R63" s="12" t="str">
        <f>IF(AND(I14=2,C44=24,C43=52),10.2,IF(AND(I14=2,C44=24,C43=53),10.3,IF(AND(I14=2,C44=24,C43=54),10.4,IF(AND(I14=2,C44=24,C43=55),10.5,IF(AND(I14=2,C44=24,C43=56),10.6,IF(AND(I14=2,C44=24,C43=57),10.7,IF(AND(I14=2,C44=24,C43=58),10.8,R64)))))))</f>
        <v>N/A</v>
      </c>
    </row>
    <row r="64" spans="1:18" ht="12.75">
      <c r="A64" s="12">
        <f>A63+(A60-(TAN(A63)-A63))/((TAN(A63)^2))</f>
        <v>0.5806526474672985</v>
      </c>
      <c r="B64" s="12"/>
      <c r="C64" s="12"/>
      <c r="D64" s="11"/>
      <c r="E64" s="11"/>
      <c r="F64" s="11"/>
      <c r="G64" s="11"/>
      <c r="H64" s="11"/>
      <c r="I64" s="11"/>
      <c r="J64" s="12"/>
      <c r="K64" s="12"/>
      <c r="L64" s="12"/>
      <c r="M64" s="12"/>
      <c r="N64" s="12"/>
      <c r="O64" s="12"/>
      <c r="P64" s="12"/>
      <c r="Q64" s="12"/>
      <c r="R64" s="12" t="str">
        <f>IF(AND(I14=2,C44=24,C43=59),10.9,IF(AND(I14=2,C44=24,C43&gt;=60,C43&lt;=70),11,IF(AND(I14=2,C44=24,C43=71),11.1,IF(AND(I14=2,C44=24,C43=72),11.2,IF(AND(I14=2,C44=24,C43=73),11.3,IF(AND(I14=2,C44=24,C43=74),11.4,IF(AND(I14=2,C44=24,C43=75),11.5,R65)))))))</f>
        <v>N/A</v>
      </c>
    </row>
    <row r="65" spans="1:18" ht="12.75">
      <c r="A65" s="12">
        <f>A64+(A60-(TAN(A64)-A64))/((TAN(A64)^2))</f>
        <v>0.580652645104408</v>
      </c>
      <c r="B65" s="12"/>
      <c r="C65" s="12"/>
      <c r="D65" s="11"/>
      <c r="E65" s="11"/>
      <c r="F65" s="11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 t="str">
        <f>IF(AND(I14=2,C44=24,C43=76),11.6,IF(AND(I14=2,C44=24,C43=77),11.7,IF(AND(I14=2,C44=24,C43=78),11.8,IF(AND(I14=2,C44=24,C43=79),11.9,IF(AND(I14=2,C44=24,C43=80),12,IF(AND(I14=2,C44=24,C43=81),12.1,IF(AND(I14=2,C44=24,C43=82),12.2,R66)))))))</f>
        <v>N/A</v>
      </c>
    </row>
    <row r="66" spans="1:18" ht="12.75">
      <c r="A66" s="12">
        <f>1.441*(A61^(1/3))-(0.374*A61)</f>
        <v>0.5608137209820659</v>
      </c>
      <c r="B66" s="12"/>
      <c r="C66" s="12"/>
      <c r="D66" s="11"/>
      <c r="E66" s="11"/>
      <c r="F66" s="11"/>
      <c r="G66" s="11"/>
      <c r="H66" s="11"/>
      <c r="I66" s="11"/>
      <c r="J66" s="12"/>
      <c r="K66" s="12"/>
      <c r="L66" s="12"/>
      <c r="M66" s="12"/>
      <c r="N66" s="12"/>
      <c r="O66" s="12"/>
      <c r="P66" s="12"/>
      <c r="Q66" s="12"/>
      <c r="R66" s="12" t="str">
        <f>IF(AND(I14=2,C44=24,C43=83),12.3,IF(AND(I14=2,C44=24,C43=84),12.4,IF(AND(I14=2,C44=24,C43=85),12.5,IF(AND(I14=2,C44=24,C43=86),12.6,IF(AND(I14=2,C44=24,C43=87),12.7,IF(AND(I14=2,C44=24,C43=88),12.8,IF(AND(I14=2,C44=24,C43=89),12.9,R67)))))))</f>
        <v>N/A</v>
      </c>
    </row>
    <row r="67" spans="1:18" ht="12.75">
      <c r="A67" s="12">
        <f>A66+(A61-(TAN(A66)-A66))/((TAN(A66)^2))</f>
        <v>0.5607321701406905</v>
      </c>
      <c r="B67" s="12"/>
      <c r="C67" s="12"/>
      <c r="D67" s="11"/>
      <c r="E67" s="11"/>
      <c r="F67" s="11"/>
      <c r="G67" s="11"/>
      <c r="H67" s="11"/>
      <c r="I67" s="11"/>
      <c r="J67" s="12"/>
      <c r="K67" s="12"/>
      <c r="L67" s="12"/>
      <c r="M67" s="12"/>
      <c r="N67" s="12"/>
      <c r="O67" s="12"/>
      <c r="P67" s="12"/>
      <c r="Q67" s="12"/>
      <c r="R67" s="12" t="str">
        <f>IF(AND(I14=2,C44=24,C43&gt;=90,C43&lt;=100),13,IF(AND(I14=2,C44&gt;=32,C43=6),10,IF(AND(I14=2,C44&gt;=32,C43=7),9.5,IF(AND(I14=2,C44&gt;=32,C43=8),9,IF(AND(I14=2,C44&gt;=32,C43=9),8.5,IF(AND(I14=2,C44&gt;=32,C43&gt;=10,C43&lt;=30),8,IF(AND(I14=2,C44&gt;=32,C43=31),8.2,R68)))))))</f>
        <v>N/A</v>
      </c>
    </row>
    <row r="68" spans="1:18" ht="12.75">
      <c r="A68" s="12">
        <f>A67+(A61-(TAN(A67)-A67))/((TAN(A67)^2))</f>
        <v>0.5607321553710221</v>
      </c>
      <c r="B68" s="12"/>
      <c r="C68" s="12"/>
      <c r="D68" s="11"/>
      <c r="E68" s="11"/>
      <c r="F68" s="11"/>
      <c r="G68" s="11"/>
      <c r="H68" s="11"/>
      <c r="I68" s="11"/>
      <c r="J68" s="12"/>
      <c r="K68" s="12"/>
      <c r="L68" s="12"/>
      <c r="M68" s="12"/>
      <c r="N68" s="12"/>
      <c r="O68" s="12"/>
      <c r="P68" s="12"/>
      <c r="Q68" s="12"/>
      <c r="R68" s="12" t="str">
        <f>IF(AND(I14=2,C44&gt;=32,C43=32),8.4,IF(AND(I14=2,C44&gt;=32,C43=33),8.6,IF(AND(I14=2,C44&gt;=32,C43=34),8.8,IF(AND(I14=2,C44&gt;=32,C43&gt;=35,C43&lt;=60),9,"N/A"))))</f>
        <v>N/A</v>
      </c>
    </row>
    <row r="69" spans="1:18" ht="12.75">
      <c r="A69" s="12">
        <f>1.441*(A62^(1/3))-(0.374*A62)</f>
        <v>0.5555565138562785</v>
      </c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12">
        <f>A69+(A62-(TAN(A69)-A69))/((TAN(A69)^2))</f>
        <v>0.555465375644461</v>
      </c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12">
        <f>A70+(A62-(TAN(A70)-A70))/((TAN(A70)^2))</f>
        <v>0.5554653571023029</v>
      </c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0:18" ht="12.75">
      <c r="J100" s="11"/>
      <c r="K100" s="11"/>
      <c r="L100" s="11"/>
      <c r="M100" s="11"/>
      <c r="N100" s="11"/>
      <c r="O100" s="11"/>
      <c r="P100" s="11"/>
      <c r="Q100" s="11"/>
      <c r="R100" s="11"/>
    </row>
  </sheetData>
  <sheetProtection sheet="1" objects="1" scenarios="1" selectLockedCells="1"/>
  <mergeCells count="22">
    <mergeCell ref="A8:I8"/>
    <mergeCell ref="A6:I6"/>
    <mergeCell ref="A7:I7"/>
    <mergeCell ref="B36:G36"/>
    <mergeCell ref="A25:I25"/>
    <mergeCell ref="A22:G23"/>
    <mergeCell ref="A32:I32"/>
    <mergeCell ref="I29:I30"/>
    <mergeCell ref="I14:I15"/>
    <mergeCell ref="A14:G15"/>
    <mergeCell ref="A17:I17"/>
    <mergeCell ref="I9:I10"/>
    <mergeCell ref="D37:G37"/>
    <mergeCell ref="E20:G20"/>
    <mergeCell ref="I19:I20"/>
    <mergeCell ref="I22:I23"/>
    <mergeCell ref="A24:G24"/>
    <mergeCell ref="A16:I16"/>
    <mergeCell ref="A41:B42"/>
    <mergeCell ref="C41:E42"/>
    <mergeCell ref="F41:H42"/>
    <mergeCell ref="A39:I40"/>
  </mergeCells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Paint.Picture" shapeId="22023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29" sqref="I29"/>
    </sheetView>
  </sheetViews>
  <sheetFormatPr defaultColWidth="9.140625" defaultRowHeight="12.75"/>
  <cols>
    <col min="1" max="16384" width="9.140625" style="14" customWidth="1"/>
  </cols>
  <sheetData>
    <row r="1" spans="1:9" ht="12.75">
      <c r="A1" s="128" t="s">
        <v>101</v>
      </c>
      <c r="B1" s="128"/>
      <c r="C1" s="128"/>
      <c r="D1" s="128"/>
      <c r="E1" s="128"/>
      <c r="F1" s="128"/>
      <c r="G1" s="128"/>
      <c r="H1" s="128"/>
      <c r="I1" s="128"/>
    </row>
    <row r="2" spans="1:9" ht="13.5" thickBot="1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5.75">
      <c r="A3" s="69"/>
      <c r="B3" s="69"/>
      <c r="C3" s="69"/>
      <c r="D3" s="35"/>
      <c r="E3" s="35"/>
      <c r="F3" s="35"/>
      <c r="G3" s="69"/>
      <c r="H3" s="69"/>
      <c r="I3" s="69"/>
    </row>
    <row r="4" spans="1:9" ht="13.5" thickBot="1">
      <c r="A4" s="35"/>
      <c r="B4" s="35"/>
      <c r="C4" s="129" t="s">
        <v>98</v>
      </c>
      <c r="D4" s="129"/>
      <c r="E4" s="129"/>
      <c r="F4" s="129"/>
      <c r="G4" s="129"/>
      <c r="H4" s="35"/>
      <c r="I4" s="35"/>
    </row>
    <row r="5" spans="1:9" ht="12.75">
      <c r="A5" s="35"/>
      <c r="B5" s="35"/>
      <c r="C5" s="84"/>
      <c r="D5" s="85"/>
      <c r="E5" s="85"/>
      <c r="F5" s="85"/>
      <c r="G5" s="84"/>
      <c r="H5" s="35"/>
      <c r="I5" s="35"/>
    </row>
    <row r="6" spans="1:9" ht="12.75">
      <c r="A6" s="104" t="s">
        <v>95</v>
      </c>
      <c r="B6" s="105"/>
      <c r="C6" s="105"/>
      <c r="D6" s="81">
        <v>0.0027</v>
      </c>
      <c r="E6" s="85"/>
      <c r="F6" s="106" t="s">
        <v>96</v>
      </c>
      <c r="G6" s="106"/>
      <c r="H6" s="106"/>
      <c r="I6" s="82">
        <v>0.0028</v>
      </c>
    </row>
    <row r="7" spans="1:9" ht="12.75">
      <c r="A7" s="41"/>
      <c r="B7" s="41"/>
      <c r="C7" s="41"/>
      <c r="D7" s="41"/>
      <c r="E7" s="41"/>
      <c r="F7" s="41"/>
      <c r="G7" s="41"/>
      <c r="H7" s="41"/>
      <c r="I7" s="88">
        <f>Sheet1!I14</f>
        <v>1</v>
      </c>
    </row>
    <row r="8" spans="1:9" ht="12.75">
      <c r="A8" s="86"/>
      <c r="B8" s="35"/>
      <c r="C8" s="42" t="s">
        <v>25</v>
      </c>
      <c r="D8" s="89">
        <f>Sheet1!C43</f>
        <v>27</v>
      </c>
      <c r="E8" s="35"/>
      <c r="F8" s="35"/>
      <c r="G8" s="35"/>
      <c r="H8" s="35"/>
      <c r="I8" s="35"/>
    </row>
    <row r="9" spans="1:9" ht="12.75">
      <c r="A9" s="86"/>
      <c r="B9" s="35"/>
      <c r="C9" s="42" t="s">
        <v>26</v>
      </c>
      <c r="D9" s="89">
        <f>Sheet1!C44</f>
        <v>32</v>
      </c>
      <c r="E9" s="35"/>
      <c r="F9" s="35"/>
      <c r="G9" s="35"/>
      <c r="H9" s="35"/>
      <c r="I9" s="35"/>
    </row>
    <row r="10" spans="1:9" ht="12.75">
      <c r="A10" s="86"/>
      <c r="B10" s="35"/>
      <c r="C10" s="42" t="s">
        <v>27</v>
      </c>
      <c r="D10" s="89">
        <f>Sheet1!C45</f>
        <v>30</v>
      </c>
      <c r="E10" s="35"/>
      <c r="F10" s="35"/>
      <c r="G10" s="35"/>
      <c r="H10" s="35"/>
      <c r="I10" s="43">
        <f>IF(ISEVEN(D8),(((D8/D9)*COS(RADIANS(D10)))/J17)-D13,(((D8/D9)*COS(RADIANS(D10)))/J17)*(COS(RADIANS(90/D8)))-D13)</f>
        <v>0.8049831256427125</v>
      </c>
    </row>
    <row r="11" spans="1:9" ht="12.75">
      <c r="A11" s="35"/>
      <c r="B11" s="42"/>
      <c r="C11" s="42" t="s">
        <v>99</v>
      </c>
      <c r="D11" s="90">
        <f>IF(I7=1,H22-(I6*2),H22+(D6*2))</f>
        <v>0.042499999999999996</v>
      </c>
      <c r="E11" s="35"/>
      <c r="F11" s="104" t="s">
        <v>92</v>
      </c>
      <c r="G11" s="104"/>
      <c r="H11" s="90">
        <f>IF(I7=1,I11,IF(I7=2,I10,"ERROR"))</f>
        <v>0.9249831256427123</v>
      </c>
      <c r="I11" s="91">
        <f>IF(ISEVEN(D8),((D8/D9)*COS(RADIANS(D10)))/J17+D13,(((D8/D9)*COS(RADIANS(D10)))/J17)*(COS(RADIANS(90/D8)))+D13)</f>
        <v>0.9249831256427123</v>
      </c>
    </row>
    <row r="12" spans="1:9" ht="12.75">
      <c r="A12" s="35"/>
      <c r="B12" s="35"/>
      <c r="C12" s="42" t="s">
        <v>100</v>
      </c>
      <c r="D12" s="90">
        <f>IF(I7=1,H23-(D6*2),H23+(I6*2))</f>
        <v>0.0418</v>
      </c>
      <c r="E12" s="35"/>
      <c r="F12" s="104" t="s">
        <v>93</v>
      </c>
      <c r="G12" s="104"/>
      <c r="H12" s="90">
        <f>IF(I7=1,I12,IF(I7=2,I13,"ERROR"))</f>
        <v>0.9238550958606992</v>
      </c>
      <c r="I12" s="91">
        <f>IF(ISEVEN(D8),((D8/D9)*COS(RADIANS(D10)))/J18+D13,(((D8/D9)*COS(RADIANS(D10)))/J18)*(COS(RADIANS(90/D8)))+D13)</f>
        <v>0.9238550958606992</v>
      </c>
    </row>
    <row r="13" spans="1:9" ht="12.75">
      <c r="A13" s="35"/>
      <c r="B13" s="42"/>
      <c r="C13" s="87" t="s">
        <v>94</v>
      </c>
      <c r="D13" s="90">
        <f>Sheet1!H48</f>
        <v>0.06</v>
      </c>
      <c r="E13" s="35"/>
      <c r="F13" s="35"/>
      <c r="G13" s="35"/>
      <c r="H13" s="35"/>
      <c r="I13" s="43">
        <f>IF(ISEVEN(D8),(((D8/D9)*COS(RADIANS(D10)))/J18)-D13,(((D8/D9)*COS(RADIANS(D10)))/J18)*(COS(RADIANS(90/D8)))-D13)</f>
        <v>0.8038550958606994</v>
      </c>
    </row>
    <row r="14" spans="1:9" ht="12.75">
      <c r="A14" s="35"/>
      <c r="B14" s="42"/>
      <c r="C14" s="42"/>
      <c r="D14" s="92"/>
      <c r="E14" s="35"/>
      <c r="F14" s="35"/>
      <c r="G14" s="35"/>
      <c r="H14" s="35"/>
      <c r="I14" s="35"/>
    </row>
    <row r="15" spans="1:9" ht="12.75">
      <c r="A15" s="35"/>
      <c r="B15" s="87"/>
      <c r="C15" s="35"/>
      <c r="D15" s="35"/>
      <c r="E15" s="84"/>
      <c r="F15" s="84"/>
      <c r="G15" s="84"/>
      <c r="H15" s="84"/>
      <c r="I15" s="84"/>
    </row>
    <row r="16" spans="1:9" ht="13.5" thickBot="1">
      <c r="A16" s="93"/>
      <c r="B16" s="93"/>
      <c r="C16" s="94"/>
      <c r="D16" s="95"/>
      <c r="E16" s="95"/>
      <c r="F16" s="95"/>
      <c r="G16" s="95"/>
      <c r="H16" s="95"/>
      <c r="I16" s="95"/>
    </row>
    <row r="17" spans="1:10" ht="12.75">
      <c r="A17" s="96">
        <f>IF(ISBLANK(D11),(PI()/D9/2)-#REF!,D11)/(D8/D9)</f>
        <v>0.050370370370370364</v>
      </c>
      <c r="B17" s="96">
        <f>TAN(RADIANS(D10))-((D10)*(PI()/180))</f>
        <v>0.053751493591326915</v>
      </c>
      <c r="C17" s="96">
        <f>D13/((D8/D9)*(COS(RADIANS(D10))))</f>
        <v>0.08211203828474677</v>
      </c>
      <c r="D17" s="96">
        <f>(PI()/D8)</f>
        <v>0.11635528346628864</v>
      </c>
      <c r="E17" s="96">
        <f>IF(I7=1,(A17+B17+C17-D17),IF(I7=2,(A17+(B17-C17)),"ERROR"))</f>
        <v>0.0698786187801554</v>
      </c>
      <c r="F17" s="96">
        <f>(E17*2.8)^0.33</f>
        <v>0.583708171743191</v>
      </c>
      <c r="G17" s="96">
        <f>((E17/(TAN(F17)-F17))^0.33)*F17</f>
        <v>0.5658618381496047</v>
      </c>
      <c r="H17" s="96">
        <f>((E17/(TAN(G17)-G17))^0.33)*G17</f>
        <v>0.5674603082097167</v>
      </c>
      <c r="I17" s="96">
        <f>((E17/(TAN(H17)-H17))^0.33)*H17</f>
        <v>0.5673201168057179</v>
      </c>
      <c r="J17" s="12">
        <f>COS(((E17/(TAN(I17)-I17))^0.33)*I17)</f>
        <v>0.8433374813343886</v>
      </c>
    </row>
    <row r="18" spans="1:10" ht="12.75">
      <c r="A18" s="96">
        <f>IF(ISBLANK(D12),(PI()/D9/2)-#REF!,D12)/(D8/D9)</f>
        <v>0.04954074074074074</v>
      </c>
      <c r="B18" s="96">
        <f>ROUND(ACOS(IF(ISEVEN(D8),ROUND((D8*(ROUND((COS(RADIANS(D10))),6))/(D9*(D22-D13))),6),ROUND(ROUND((D8*(ROUND((COS(RADIANS(D10))),6))/(D9*(D22-D13))),6)*ROUND((COS(RADIANS(90/D8))),6),6))),6)</f>
        <v>0.58315</v>
      </c>
      <c r="C18" s="96">
        <f>ROUND(ACOS(IF(ISEVEN(D8),ROUND((D8*(ROUND((COS(RADIANS(D10))),6))/(D9*(D23-D13))),6),ROUND(ROUND((D8*(ROUND((COS(RADIANS(D10))),6))/(D9*(D23-D13))),6)*ROUND((COS(RADIANS(90/D8))),6),6))),6)</f>
        <v>0.580714</v>
      </c>
      <c r="D18" s="96"/>
      <c r="E18" s="96">
        <f>IF(I7=1,(A18+B17+C17-D17),IF(I7=2,(A18+(B17-C17)),"ERROR"))</f>
        <v>0.06904898915052578</v>
      </c>
      <c r="F18" s="96">
        <f>(E18*2.8)^0.33</f>
        <v>0.5814121024222912</v>
      </c>
      <c r="G18" s="96">
        <f>((E18/(TAN(F18)-F18))^0.33)*F18</f>
        <v>0.5638449117079679</v>
      </c>
      <c r="H18" s="96">
        <f>((E18/(TAN(G18)-G18))^0.33)*G18</f>
        <v>0.5654035171726997</v>
      </c>
      <c r="I18" s="96">
        <f>((E18/(TAN(H18)-H18))^0.33)*H18</f>
        <v>0.5652680822594539</v>
      </c>
      <c r="J18" s="12">
        <f>COS(((E18/(TAN(I18)-I18))^0.33)*I18)</f>
        <v>0.844438719030145</v>
      </c>
    </row>
    <row r="19" spans="1:9" ht="12.75">
      <c r="A19" s="43"/>
      <c r="B19" s="43">
        <f>ROUND(ACOS(IF(ISEVEN(D8),ROUND((D8*(ROUND((COS(RADIANS(D10))),6))/(D9*(D22+D13))),6),ROUND(ROUND((D8*(ROUND((COS(RADIANS(D10))),6))/(D9*(D22+D13))),6)*ROUND((COS(RADIANS(90/D8))),6),6))),6)</f>
        <v>0.746678</v>
      </c>
      <c r="C19" s="43">
        <f>ROUND(ACOS(IF(ISEVEN(D8),ROUND((D8*(ROUND((COS(RADIANS(D10))),6))/(D9*(D23+D13))),6),ROUND(ROUND((D8*(ROUND((COS(RADIANS(D10))),6))/(D9*(D23+D13))),6)*ROUND((COS(RADIANS(90/D8))),6),6))),6)</f>
        <v>0.745153</v>
      </c>
      <c r="D19" s="43"/>
      <c r="E19" s="43"/>
      <c r="F19" s="43"/>
      <c r="G19" s="43"/>
      <c r="H19" s="43"/>
      <c r="I19" s="43"/>
    </row>
    <row r="20" spans="1:9" ht="13.5" thickBot="1">
      <c r="A20" s="35"/>
      <c r="B20" s="35"/>
      <c r="C20" s="129" t="s">
        <v>97</v>
      </c>
      <c r="D20" s="129"/>
      <c r="E20" s="129"/>
      <c r="F20" s="129"/>
      <c r="G20" s="129"/>
      <c r="H20" s="35"/>
      <c r="I20" s="97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97">
        <f>ROUND((D8/D9)*((ROUND(TAN(B19),6)-B19)-B17+C17),4)</f>
        <v>0.1747</v>
      </c>
    </row>
    <row r="22" spans="1:9" ht="12.75">
      <c r="A22" s="35"/>
      <c r="B22" s="104" t="s">
        <v>92</v>
      </c>
      <c r="C22" s="104"/>
      <c r="D22" s="90">
        <f>Sheet1!F48</f>
        <v>0.9339</v>
      </c>
      <c r="E22" s="35"/>
      <c r="F22" s="104" t="s">
        <v>99</v>
      </c>
      <c r="G22" s="104"/>
      <c r="H22" s="90">
        <f>IF(I7=1,I22,IF(I7=2,I21,"ERROR"))</f>
        <v>0.0481</v>
      </c>
      <c r="I22" s="98">
        <f>ROUND((D8/D9)*((ROUND(TAN(B18),6)-B18)-B17-C17+D17),4)</f>
        <v>0.0481</v>
      </c>
    </row>
    <row r="23" spans="1:9" ht="12.75">
      <c r="A23" s="35"/>
      <c r="B23" s="104" t="s">
        <v>93</v>
      </c>
      <c r="C23" s="104"/>
      <c r="D23" s="90">
        <f>Sheet1!D48</f>
        <v>0.9325</v>
      </c>
      <c r="E23" s="35"/>
      <c r="F23" s="104" t="s">
        <v>100</v>
      </c>
      <c r="G23" s="104"/>
      <c r="H23" s="90">
        <f>IF(I7=1,I23,IF(I7=2,I24,"ERROR"))</f>
        <v>0.0472</v>
      </c>
      <c r="I23" s="98">
        <f>ROUND((D8/D9)*((ROUND(TAN(C18),6)-C18)-B17-C17+D17),4)</f>
        <v>0.0472</v>
      </c>
    </row>
    <row r="24" spans="1:9" ht="12.75">
      <c r="A24" s="35"/>
      <c r="B24" s="35"/>
      <c r="C24" s="35"/>
      <c r="D24" s="35"/>
      <c r="E24" s="35"/>
      <c r="F24" s="35"/>
      <c r="G24" s="35"/>
      <c r="H24" s="35"/>
      <c r="I24" s="97">
        <f>ROUND((D8/D9)*((ROUND(TAN(C19),6)-C19)-B17+C17),4)</f>
        <v>0.1736</v>
      </c>
    </row>
    <row r="25" spans="1:9" ht="12.75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2.75">
      <c r="A26" s="128" t="s">
        <v>62</v>
      </c>
      <c r="B26" s="128"/>
      <c r="C26" s="128"/>
      <c r="D26" s="128"/>
      <c r="E26" s="128"/>
      <c r="F26" s="128"/>
      <c r="G26" s="128"/>
      <c r="H26" s="128"/>
      <c r="I26" s="128"/>
    </row>
    <row r="27" spans="1:9" ht="13.5" thickBot="1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9" ht="13.5" thickBot="1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3.5" thickBot="1">
      <c r="A29" s="32" t="s">
        <v>68</v>
      </c>
      <c r="B29" s="35"/>
      <c r="C29" s="35"/>
      <c r="D29" s="35"/>
      <c r="E29" s="35"/>
      <c r="F29" s="35"/>
      <c r="G29" s="35"/>
      <c r="H29" s="35"/>
      <c r="I29" s="83">
        <v>2</v>
      </c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2.75">
      <c r="A31" s="35"/>
      <c r="B31" s="135" t="s">
        <v>63</v>
      </c>
      <c r="C31" s="135"/>
      <c r="D31" s="99">
        <f>IF(I29&lt;0.5,0.0002,IF(AND(I29&gt;=0.5,I29&lt;1),0.0003,IF(AND(I29&gt;=1,I29&lt;2),0.0004,IF(AND(I29&gt;=2,I29&lt;3),0.0005,IF(AND(I29&gt;=3,I29&lt;4),0.0006,IF(AND(I29&gt;=4,I29&lt;5),0.0007,IF(AND(I29&gt;=5,I29&lt;6),0.0008,I31)))))))</f>
        <v>0.0005</v>
      </c>
      <c r="E31" s="135" t="s">
        <v>64</v>
      </c>
      <c r="F31" s="103"/>
      <c r="G31" s="103"/>
      <c r="H31" s="35">
        <f>IF(Sheet1!C44&lt;=3,A35,IF(AND(Sheet1!C44&gt;=4,Sheet1!C44&lt;=5),B35,IF(AND(Sheet1!C44&gt;=6,Sheet1!C44&lt;=8),C35,IF(AND(Sheet1!C44&gt;=10,Sheet1!C44&lt;=12),D35,IF(AND(Sheet1!C44&gt;=16,Sheet1!C44&lt;=20),E35,IF(AND(Sheet1!C44&gt;=24,Sheet1!C44&lt;=48),F35,IF(AND(Sheet1!C44&gt;=64,Sheet1!C44&lt;=80),G35,H35)))))))</f>
        <v>0.0014</v>
      </c>
      <c r="I31" s="97">
        <f>IF(AND(I29&gt;=6,I29&lt;7),0.0009,IF(AND(I29&gt;=7,I29&lt;8),0.001,IF(AND(I29&gt;=8,I29&lt;9),0.0011,IF(AND(I29&gt;=9,I29&lt;10),0.0012,0.0013))))</f>
        <v>0.0013</v>
      </c>
    </row>
    <row r="32" spans="1:9" ht="12.75">
      <c r="A32" s="135" t="s">
        <v>67</v>
      </c>
      <c r="B32" s="135"/>
      <c r="C32" s="135"/>
      <c r="D32" s="99">
        <f>IF(Sheet1!C44&lt;=3,0.0007,IF(OR(Sheet1!C44=4,Sheet1!C44=5),0.0006,IF(OR(Sheet1!C44=6,Sheet1!C44=8),0.0005,IF(OR(Sheet1!C44=10,Sheet1!C44=12),0.0004,IF(OR(Sheet1!C44=16,Sheet1!C44=20),0.0003,0.0002)))))</f>
        <v>0.0002</v>
      </c>
      <c r="E32" s="135" t="s">
        <v>65</v>
      </c>
      <c r="F32" s="103"/>
      <c r="G32" s="103"/>
      <c r="H32" s="100">
        <f>IF(Sheet1!C44&lt;=3,(Sheet1!C43*0.35+20)*0.0001,IF(OR(Sheet1!C44=4,Sheet1!C44=5),(Sheet1!C43*0.23+18)*0.0001,IF(OR(Sheet1!C44=6,Sheet1!C44=8),(Sheet1!C43*0.2+15)*0.0001,IF(OR(Sheet1!C44=10,Sheet1!C44=12),(Sheet1!C43*0.17+14)*0.0001,IF(OR(Sheet1!C44=16,Sheet1!C44=20),(Sheet1!C43*0.12+13)*0.0001,IF(OR(Sheet1!C44=24,Sheet1!C44=32,Sheet1!C44=48),(Sheet1!C43*0.12+11)*0.0001,IF(OR(Sheet1!C44=64,Sheet1!C44=80),(Sheet1!C43*0.1+10)*0.0001,(Sheet1!C43*0.08+9)*0.0001)))))))</f>
        <v>0.0014240000000000001</v>
      </c>
      <c r="I32" s="35"/>
    </row>
    <row r="33" spans="1:9" ht="12.75">
      <c r="A33" s="135" t="s">
        <v>66</v>
      </c>
      <c r="B33" s="135"/>
      <c r="C33" s="135"/>
      <c r="D33" s="99">
        <f>IF(Sheet1!C44&lt;=3,0.001,IF(OR(Sheet1!C44=4,Sheet1!C44=5),0.0008,IF(OR(Sheet1!C44=6,Sheet1!C44=8),0.0007,IF(OR(Sheet1!C44=10,Sheet1!C44=12),0.0006,IF(OR(Sheet1!C44=16,Sheet1!C44=20),0.0005,0.0004)))))</f>
        <v>0.0004</v>
      </c>
      <c r="E33" s="35"/>
      <c r="F33" s="35"/>
      <c r="G33" s="35"/>
      <c r="H33" s="35"/>
      <c r="I33" s="35"/>
    </row>
    <row r="34" spans="1:9" ht="12.75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2.75">
      <c r="A35" s="97">
        <f>IF(Sheet1!C43=6,0.0018,IF(AND(Sheet1!C43&gt;=7,Sheet1!C43&lt;=8),0.0019,IF(AND(Sheet1!C43&gt;=9,Sheet1!C43&lt;=11),0.002,IF(AND(Sheet1!C43&gt;=12,Sheet1!C43&lt;=13),0.0021,IF(AND(Sheet1!C43&gt;=14,Sheet1!C43&lt;=16),0.0022,IF(AND(Sheet1!C43&gt;=17,Sheet1!C43&lt;=18),0.0023,IF(AND(Sheet1!C43&gt;=19,Sheet1!C43&lt;=21),0.0024,A36)))))))</f>
        <v>0.0027</v>
      </c>
      <c r="B35" s="97">
        <f>IF(AND(Sheet1!C43&gt;=6,Sheet1!C43&lt;=8),0.0016,IF(AND(Sheet1!C43&gt;=9,Sheet1!C43&lt;=11),0.0017,IF(AND(Sheet1!C43&gt;=12,Sheet1!C43&lt;=15),0.0018,IF(AND(Sheet1!C43&gt;=16,Sheet1!C43&lt;=19),0.0019,IF(AND(Sheet1!C43&gt;=20,Sheet1!C43&lt;=23),0.002,IF(AND(Sheet1!C43&gt;=24,Sheet1!C43&lt;=27),0.0021,IF(AND(Sheet1!C43&gt;=28,Sheet1!C43&lt;=31),0.0022,B36)))))))</f>
        <v>0.0021</v>
      </c>
      <c r="C35" s="97">
        <f>IF(AND(Sheet1!C43&gt;=6,Sheet1!C43&lt;=7),0.0014,IF(AND(Sheet1!C43&gt;=8,Sheet1!C43&lt;=12),0.0015,IF(AND(Sheet1!C43&gt;=13,Sheet1!C43&lt;=16),0.0016,IF(AND(Sheet1!C43&gt;=17,Sheet1!C43&lt;=19),0.0017,IF(AND(Sheet1!C43&gt;=20,Sheet1!C43&lt;=24),0.0018,IF(AND(Sheet1!C43&gt;=25,Sheet1!C43&lt;=28),0.0019,IF(AND(Sheet1!C43&gt;=29,Sheet1!C43&lt;=32),0.002,C36)))))))</f>
        <v>0.0019</v>
      </c>
      <c r="D35" s="97">
        <f>IF(AND(Sheet1!C43&gt;=6,Sheet1!C43&lt;=7),0.0014,IF(AND(Sheet1!C43&gt;=8,Sheet1!C43&lt;=12),0.0015,IF(AND(Sheet1!C43&gt;=13,Sheet1!C43&lt;=18),0.0016,IF(AND(Sheet1!C43&gt;=19,Sheet1!C43&lt;=24),0.0017,IF(AND(Sheet1!C43&gt;=25,Sheet1!C43&lt;=29),0.0018,IF(AND(Sheet1!C43&gt;=30,Sheet1!C43&lt;=35),0.0019,IF(AND(Sheet1!C43&gt;=36,Sheet1!C43&lt;=40),0.002,D36)))))))</f>
        <v>0.0018</v>
      </c>
      <c r="E35" s="97">
        <f>IF(AND(Sheet1!C43&gt;=6,Sheet1!C43&lt;=14),0.0014,IF(AND(Sheet1!C43&gt;=15,Sheet1!C43&lt;=22),0.0015,IF(AND(Sheet1!C43&gt;=23,Sheet1!C43&lt;=30),0.0016,IF(AND(Sheet1!C43&gt;=31,Sheet1!C43&lt;=38),0.0017,IF(AND(Sheet1!C43&gt;=39,Sheet1!C43&lt;=46),0.0018,IF(AND(Sheet1!C43&gt;=47,Sheet1!C43&lt;=54),0.0019,IF(AND(Sheet1!C43&gt;=55,Sheet1!C43&lt;=63),0.002,E36)))))))</f>
        <v>0.0016</v>
      </c>
      <c r="F35" s="97">
        <f>IF(Sheet1!C43=6,0.0011,IF(AND(Sheet1!C43&gt;=7,Sheet1!C43&lt;=13),0.0012,IF(AND(Sheet1!C43&gt;=14,Sheet1!C43&lt;=21),0.0013,IF(AND(Sheet1!C43&gt;=22,Sheet1!C43&lt;=28),0.0014,IF(AND(Sheet1!C43&gt;=29,Sheet1!C43&lt;=36),0.0015,IF(AND(Sheet1!C43&gt;=37,Sheet1!C43&lt;=43),0.0016,IF(AND(Sheet1!C43&gt;=44,Sheet1!C43&lt;=51),0.0017,F36)))))))</f>
        <v>0.0014</v>
      </c>
      <c r="G35" s="97">
        <f>IF(AND(Sheet1!C43&gt;=7,Sheet1!C43&lt;=13),0.0011,IF(AND(Sheet1!C43&gt;=14,Sheet1!C43&lt;=21),0.0012,IF(AND(Sheet1!C43&gt;=22,Sheet1!C43&lt;=28),0.0013,IF(AND(Sheet1!C43&gt;=29,Sheet1!C43&lt;=36),0.0014,IF(AND(Sheet1!C43&gt;=37,Sheet1!C43&lt;=40),0.0015,"ERROR")))))</f>
        <v>0.0013</v>
      </c>
      <c r="H35" s="97">
        <f>IF(AND(Sheet1!C43&gt;=7,Sheet1!C43&lt;=13),0.001,IF(AND(Sheet1!C43&gt;=14,Sheet1!C43&lt;=20),0.0011,IF(AND(Sheet1!C43&gt;=21,Sheet1!C43&lt;=26),0.0012,IF(AND(Sheet1!C43&gt;=27,Sheet1!C43&lt;=30),0.0013,"ERROR"))))</f>
        <v>0.0013</v>
      </c>
      <c r="I35" s="97"/>
    </row>
    <row r="36" spans="1:9" ht="12.75">
      <c r="A36" s="97">
        <f>IF(AND(Sheet1!C43&gt;=22,Sheet1!C43&lt;=23),0.0025,IF(AND(Sheet1!C43&gt;=24,Sheet1!C43&lt;=26),0.0026,IF(AND(Sheet1!C43&gt;=27,Sheet1!C43&lt;=28),0.0027,IF(AND(Sheet1!C43&gt;=29,Sheet1!C43&lt;=31),0.0028,IF(AND(Sheet1!C43&gt;=32,Sheet1!C43&lt;=33),0.0029,IF(AND(Sheet1!C43&gt;=34,Sheet1!C43&lt;=36),0.003,IF(AND(Sheet1!C43&gt;=37,Sheet1!C43&lt;=38),0.0031,A37)))))))</f>
        <v>0.0027</v>
      </c>
      <c r="B36" s="97" t="str">
        <f>IF(AND(Sheet1!C43&gt;=32,Sheet1!C43&lt;=34),0.0023,IF(AND(Sheet1!C43&gt;=35,Sheet1!C43&lt;=38),0.0024,IF(AND(Sheet1!C43&gt;=39,Sheet1!C43&lt;=42),0.0025,IF(AND(Sheet1!C43&gt;=43,Sheet1!C43&lt;=46),0.0026,IF(AND(Sheet1!C43&gt;=47,Sheet1!C43&lt;=50),0.0027,IF(AND(Sheet1!C43&gt;=51,Sheet1!C43&lt;=54),0.0028,IF(AND(Sheet1!C43&gt;=55,Sheet1!C43&lt;=58),0.0029,B37)))))))</f>
        <v>ERROR</v>
      </c>
      <c r="C36" s="97" t="str">
        <f>IF(AND(Sheet1!C43&gt;=33,Sheet1!C43&lt;=37),0.0021,IF(AND(Sheet1!C43&gt;=38,Sheet1!C43&lt;=41),0.0022,IF(AND(Sheet1!C43&gt;=42,Sheet1!C43&lt;=45),0.0023,IF(AND(Sheet1!C43&gt;=46,Sheet1!C43&lt;=49),0.0024,IF(AND(Sheet1!C43&gt;=50,Sheet1!C43&lt;=53),0.0025,IF(AND(Sheet1!C43&gt;=54,Sheet1!C43&lt;=57),0.0026,IF(AND(Sheet1!C43&gt;=58,Sheet1!C43&lt;=60),0.0027,"ERROR")))))))</f>
        <v>ERROR</v>
      </c>
      <c r="D36" s="97" t="str">
        <f>IF(AND(Sheet1!C43&gt;=41,Sheet1!C43&lt;=46),0.0021,IF(AND(Sheet1!C43&gt;=47,Sheet1!C43&lt;=52),0.0022,IF(AND(Sheet1!C43&gt;=53,Sheet1!C43&lt;=57),0.0023,IF(AND(Sheet1!C43&gt;=58,Sheet1!C43&lt;=63),0.0024,IF(AND(Sheet1!C43&gt;=64,Sheet1!C43&lt;=69),0.0025,IF(AND(Sheet1!C43&gt;=70,Sheet1!C43&lt;=74),0.0026,IF(AND(Sheet1!C43&gt;=75,Sheet1!C43&lt;=79),0.0027,D37)))))))</f>
        <v>ERROR</v>
      </c>
      <c r="E36" s="97" t="str">
        <f>IF(AND(Sheet1!C43&gt;=64,Sheet1!C43&lt;=71),0.0021,IF(AND(Sheet1!C43&gt;=72,Sheet1!C43&lt;=80),0.0022,IF(AND(Sheet1!C43&gt;=81,Sheet1!C43&lt;=87),0.0023,IF(AND(Sheet1!C43&gt;=88,Sheet1!C43&lt;=95),0.0024,IF(AND(Sheet1!C43&gt;=96,Sheet1!C43&lt;=100),0.0025,"ERROR")))))</f>
        <v>ERROR</v>
      </c>
      <c r="F36" s="97" t="str">
        <f>IF(AND(Sheet1!C43&gt;=52,Sheet1!C43&lt;=60),0.0018,IF(AND(Sheet1!C43&gt;=61,Sheet1!C43&lt;=66),0.0019,IF(AND(Sheet1!C43&gt;=67,Sheet1!C43&lt;=73),0.002,IF(AND(Sheet1!C43&gt;=74,Sheet1!C43&lt;=81),0.0021,IF(AND(Sheet1!C43&gt;=82,Sheet1!C43&lt;=88),0.0022,IF(AND(Sheet1!C43&gt;=89,Sheet1!C43&lt;=96),0.0023,IF(AND(Sheet1!C43&gt;=97,Sheet1!C43&lt;=100),0.0024,"ERROR")))))))</f>
        <v>ERROR</v>
      </c>
      <c r="G36" s="97"/>
      <c r="H36" s="97"/>
      <c r="I36" s="97"/>
    </row>
    <row r="37" spans="1:9" ht="12.75">
      <c r="A37" s="97" t="str">
        <f>IF(AND(Sheet1!C43&gt;=39,Sheet1!C43&lt;=41),0.0032,IF(AND(Sheet1!C43&gt;=42,Sheet1!C43&lt;=43),0.0033,IF(AND(Sheet1!C43&gt;=44,Sheet1!C43&lt;=46),0.0034,IF(AND(Sheet1!C43&gt;=47,Sheet1!C43&lt;=48),0.0035,IF(AND(Sheet1!C43&gt;=49,Sheet1!C43&lt;=51),0.0036,IF(AND(Sheet1!C43&gt;=52,Sheet1!C43&lt;=53),0.0037,IF(AND(Sheet1!C43&gt;=54,Sheet1!C43&lt;=56),0.0038,A38)))))))</f>
        <v>ERROR</v>
      </c>
      <c r="B37" s="97" t="str">
        <f>IF(AND(Sheet1!C43&gt;=59,Sheet1!C43&lt;=60),0.003,"ERROR")</f>
        <v>ERROR</v>
      </c>
      <c r="C37" s="97"/>
      <c r="D37" s="97" t="str">
        <f>IF(AND(Sheet1!C43&gt;=80,Sheet1!C43&lt;=85),0.0028,IF(AND(Sheet1!C43&gt;=86,Sheet1!C43&lt;=91),0.0029,IF(AND(Sheet1!C43&gt;=92,Sheet1!C43&lt;=97),0.003,IF(AND(Sheet1!C43&gt;=98,Sheet1!C43&lt;=100),0.0031,"ERROR"))))</f>
        <v>ERROR</v>
      </c>
      <c r="E37" s="97"/>
      <c r="F37" s="97"/>
      <c r="G37" s="97"/>
      <c r="H37" s="97"/>
      <c r="I37" s="97"/>
    </row>
    <row r="38" spans="1:9" ht="12.75">
      <c r="A38" s="97" t="str">
        <f>IF(AND(Sheet1!C43&gt;=57,Sheet1!C43&lt;=58),0.0039,IF(AND(Sheet1!C43&gt;=59,Sheet1!C43&lt;=60),0.004,"ERROR"))</f>
        <v>ERROR</v>
      </c>
      <c r="B38" s="97"/>
      <c r="C38" s="97"/>
      <c r="D38" s="97"/>
      <c r="E38" s="97"/>
      <c r="F38" s="97"/>
      <c r="G38" s="97"/>
      <c r="H38" s="97"/>
      <c r="I38" s="97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</sheetData>
  <sheetProtection sheet="1" objects="1" scenarios="1" selectLockedCells="1"/>
  <mergeCells count="17">
    <mergeCell ref="A1:I2"/>
    <mergeCell ref="F11:G11"/>
    <mergeCell ref="A6:C6"/>
    <mergeCell ref="F6:H6"/>
    <mergeCell ref="C4:G4"/>
    <mergeCell ref="B23:C23"/>
    <mergeCell ref="F23:G23"/>
    <mergeCell ref="F12:G12"/>
    <mergeCell ref="C20:G20"/>
    <mergeCell ref="B22:C22"/>
    <mergeCell ref="F22:G22"/>
    <mergeCell ref="A33:C33"/>
    <mergeCell ref="A26:I27"/>
    <mergeCell ref="B31:C31"/>
    <mergeCell ref="A32:C32"/>
    <mergeCell ref="E31:G31"/>
    <mergeCell ref="E32:G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2" sqref="A2:I2"/>
    </sheetView>
  </sheetViews>
  <sheetFormatPr defaultColWidth="9.140625" defaultRowHeight="12.75"/>
  <cols>
    <col min="1" max="16384" width="9.140625" style="3" customWidth="1"/>
  </cols>
  <sheetData>
    <row r="2" spans="1:9" ht="13.5" thickBot="1">
      <c r="A2" s="107" t="s">
        <v>69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3.5" thickBot="1">
      <c r="A4" s="107" t="s">
        <v>70</v>
      </c>
      <c r="B4" s="107"/>
      <c r="C4" s="107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 t="s">
        <v>71</v>
      </c>
      <c r="B6" s="4"/>
      <c r="C6" s="4"/>
      <c r="D6" s="4"/>
      <c r="E6" s="4"/>
      <c r="F6" s="4"/>
      <c r="G6" s="4"/>
      <c r="H6" s="4"/>
      <c r="I6" s="4"/>
    </row>
    <row r="7" ht="12.75">
      <c r="A7" s="4" t="s">
        <v>74</v>
      </c>
    </row>
    <row r="8" spans="1:9" ht="12.75">
      <c r="A8" s="4" t="s">
        <v>73</v>
      </c>
      <c r="B8" s="4"/>
      <c r="C8" s="4"/>
      <c r="D8" s="4"/>
      <c r="E8" s="4"/>
      <c r="F8" s="4"/>
      <c r="G8" s="4"/>
      <c r="H8" s="4"/>
      <c r="I8" s="4"/>
    </row>
    <row r="9" spans="1:9" ht="12.75">
      <c r="A9" s="4" t="s">
        <v>72</v>
      </c>
      <c r="B9" s="4"/>
      <c r="C9" s="4"/>
      <c r="D9" s="4"/>
      <c r="E9" s="4"/>
      <c r="F9" s="4"/>
      <c r="G9" s="4"/>
      <c r="H9" s="4"/>
      <c r="I9" s="4"/>
    </row>
    <row r="10" spans="1:9" ht="12.75">
      <c r="A10" s="4" t="s">
        <v>75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4" t="s">
        <v>76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4" t="s">
        <v>77</v>
      </c>
      <c r="B12" s="4"/>
      <c r="C12" s="4"/>
      <c r="D12" s="4"/>
      <c r="E12" s="4"/>
      <c r="F12" s="4"/>
      <c r="G12" s="4"/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3.5" thickBot="1">
      <c r="A14" s="107" t="s">
        <v>78</v>
      </c>
      <c r="B14" s="107"/>
      <c r="C14" s="107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 t="s">
        <v>79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4" t="s">
        <v>74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4" t="s">
        <v>80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4" t="s">
        <v>81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4" t="s">
        <v>82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4" t="s">
        <v>83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4" t="s">
        <v>84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3.5" thickBot="1">
      <c r="A24" s="107" t="s">
        <v>85</v>
      </c>
      <c r="B24" s="107"/>
      <c r="C24" s="107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 t="s">
        <v>86</v>
      </c>
      <c r="B26" s="4"/>
      <c r="C26" s="4"/>
      <c r="D26" s="4"/>
      <c r="E26" s="4"/>
      <c r="F26" s="4"/>
      <c r="G26" s="4"/>
      <c r="H26" s="4"/>
      <c r="I26" s="4"/>
    </row>
    <row r="27" spans="1:9" ht="12.75">
      <c r="A27" s="4" t="s">
        <v>74</v>
      </c>
      <c r="B27" s="4"/>
      <c r="C27" s="4"/>
      <c r="D27" s="4"/>
      <c r="E27" s="4"/>
      <c r="F27" s="4"/>
      <c r="G27" s="4"/>
      <c r="H27" s="4"/>
      <c r="I27" s="4"/>
    </row>
    <row r="28" ht="12.75">
      <c r="A28" s="4" t="s">
        <v>87</v>
      </c>
    </row>
    <row r="29" ht="12.75">
      <c r="A29" s="4" t="s">
        <v>81</v>
      </c>
    </row>
    <row r="30" ht="12.75">
      <c r="A30" s="4" t="s">
        <v>76</v>
      </c>
    </row>
    <row r="31" ht="12.75">
      <c r="A31" s="4" t="s">
        <v>77</v>
      </c>
    </row>
    <row r="33" spans="1:3" ht="13.5" thickBot="1">
      <c r="A33" s="107" t="s">
        <v>88</v>
      </c>
      <c r="B33" s="108"/>
      <c r="C33" s="108"/>
    </row>
    <row r="35" ht="12.75">
      <c r="A35" s="4" t="s">
        <v>89</v>
      </c>
    </row>
    <row r="36" ht="12.75">
      <c r="A36" s="3" t="s">
        <v>90</v>
      </c>
    </row>
    <row r="37" ht="12.75">
      <c r="A37" s="4" t="s">
        <v>74</v>
      </c>
    </row>
    <row r="38" ht="12.75">
      <c r="A38" s="4" t="s">
        <v>91</v>
      </c>
    </row>
  </sheetData>
  <sheetProtection sheet="1" objects="1" scenarios="1" selectLockedCells="1"/>
  <mergeCells count="5">
    <mergeCell ref="A24:C24"/>
    <mergeCell ref="A33:C33"/>
    <mergeCell ref="A2:I2"/>
    <mergeCell ref="A4:C4"/>
    <mergeCell ref="A14:C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5:19" ht="15.75">
      <c r="E1" s="54" t="s">
        <v>0</v>
      </c>
      <c r="F1" s="54"/>
      <c r="G1" s="54"/>
      <c r="H1" s="54"/>
      <c r="I1" s="54"/>
      <c r="J1" s="1" t="str">
        <f>IF(OR(I12=312,I12=324,I12=348,I12=12,I12=24,I12=48),23,IF(OR(I12=356,I12=56),27,IF(OR(I12=360,I12=60),29,IF(OR(I12=364,I12=64),31,IF(OR(I12=372,I12=72),35,IF(OR(I12=378,I12=78),38,IF(OR(I12=380,I12=80),39,K1)))))))</f>
        <v>ERROR</v>
      </c>
      <c r="K1" s="1" t="str">
        <f>IF(OR(I12=384,I12=84),41,IF(OR(I12=388,I12=88),43,IF(OR(I12=394,I12=94),46,IF(OR(I12=396,I12=96),47,IF(OR(I12=406,I12=106),52,"ERROR")))))</f>
        <v>ERROR</v>
      </c>
      <c r="L1" s="1" t="str">
        <f>IF(I12=318,1.1095,IF(I12=320,1.2345,IF(I12=321,1.2965,IF(I12=322,1.3595,IF(I12=324,1.4845,IF(I12=328,1.7255,IF(I12=332,1.9735,M1)))))))</f>
        <v>ERROR</v>
      </c>
      <c r="M1" s="1" t="str">
        <f>IF(I12=336,2.2235,IF(I12=340,2.4715,IF(I12=344,2.7215,IF(I12=348,2.9715,IF(I12=356,3.4695,IF(I12=360,3.7195,IF(I12=364,3.9695,N1)))))))</f>
        <v>ERROR</v>
      </c>
      <c r="N1" s="1" t="str">
        <f>IF(I12=372,4.4695,IF(I12=378,4.8445,IF(I12=380,4.9695,IF(I12=384,5.2195,IF(I12=388,5.4695,IF(I12=394,5.8445,IF(I12=396,5.9695,O1)))))))</f>
        <v>ERROR</v>
      </c>
      <c r="O1" s="1" t="str">
        <f>IF(I12=406,6.5945,IF(I12=6,0.3938,IF(I12=7,0.4563,IF(I12=8,0.5188,IF(I12=10,0.6438,IF(I12=12,0.7688,IF(I12=14,0.9125,P1)))))))</f>
        <v>ERROR</v>
      </c>
      <c r="P1" s="1" t="str">
        <f>IF(I12=16,1.0375,IF(I12=18,1.1625,IF(I12=20,1.2875,IF(I12=21,1.35,IF(I12=22,1.4125,IF(I12=24,1.5375,IF(I12=28,1.825,Q1)))))))</f>
        <v>ERROR</v>
      </c>
      <c r="Q1" s="1" t="str">
        <f>IF(I12=32,2.075,IF(I12=36,2.325,IF(I12=40,2.575,IF(I12=44,2.825,IF(I12=48,3.075,IF(I12=56,3.575,IF(I12=60,3.825,R1)))))))</f>
        <v>ERROR</v>
      </c>
      <c r="R1" s="1" t="str">
        <f>IF(I12=64,4.075,IF(I12=72,4.575,IF(I12=78,4.95,IF(I12=80,5.075,IF(I12=84,5.325,IF(I12=88,5.575,IF(I12=94,5.95,S1)))))))</f>
        <v>ERROR</v>
      </c>
      <c r="S1" s="1" t="str">
        <f>IF(I12=96,6.075,IF(I12=106,6.7,"ERROR"))</f>
        <v>ERROR</v>
      </c>
    </row>
    <row r="2" spans="5:19" ht="12.75">
      <c r="E2" s="55" t="s">
        <v>1</v>
      </c>
      <c r="F2" s="55"/>
      <c r="G2" s="55"/>
      <c r="H2" s="55"/>
      <c r="I2" s="55"/>
      <c r="L2" s="1" t="str">
        <f>IF(I12=318,0.9525,IF(I12=320,1.0775,IF(I12=321,1.14,IF(I12=322,1.2025,IF(I12=324,1.3275,IF(I12=328,1.405,IF(I12=332,1.655,M2)))))))</f>
        <v>ERROR</v>
      </c>
      <c r="M2" s="1" t="str">
        <f>IF(I12=336,1.905,IF(I12=340,2.155,IF(I12=344,2.405,IF(I12=348,2.655,IF(I12=356,3.155,IF(I12=360,3.405,IF(I12=364,3.655,N2)))))))</f>
        <v>ERROR</v>
      </c>
      <c r="N2" s="1" t="str">
        <f>IF(I12=372,4.155,IF(I12=378,4.53,IF(I12=380,4.655,IF(I12=384,4.905,IF(I12=388,5.155,IF(I12=394,5.53,IF(I12=396,5.655,O2)))))))</f>
        <v>ERROR</v>
      </c>
      <c r="O2" s="1" t="str">
        <f>IF(I12=406,6.28,IF(I12=6,0.322,IF(I12=7,0.382,IF(I12=8,0.445,IF(I12=10,0.57,IF(I12=12,0.695,IF(I12=14,0.763,P2)))))))</f>
        <v>ERROR</v>
      </c>
      <c r="P2" s="1" t="str">
        <f>IF(I12=16,0.888,IF(I12=18,1.013,IF(I12=20,1.136,IF(I12=21,1.199,IF(I12=22,1.261,IF(I12=24,1.386,IF(I12=28,1.527,Q2)))))))</f>
        <v>ERROR</v>
      </c>
      <c r="Q2" s="1" t="str">
        <f>IF(I12=32,1.775,IF(I12=36,2.023,IF(I12=40,2.273,IF(I12=44,2.521,IF(I12=48,2.771,IF(I12=56,3.271,IF(I12=60,3.519,R2)))))))</f>
        <v>ERROR</v>
      </c>
      <c r="R2" s="1" t="str">
        <f>IF(I12=64,3.769,IF(I12=72,4.267,IF(I12=78,4.642,IF(I12=80,4.766,IF(I12=84,5.016,IF(I12=88,5.266,IF(I12=94,5.641,S2)))))))</f>
        <v>ERROR</v>
      </c>
      <c r="S2" s="1" t="str">
        <f>IF(I12=96,5.766,IF(I12=106,6.391,"ERROR"))</f>
        <v>ERROR</v>
      </c>
    </row>
    <row r="3" spans="5:17" ht="12.75">
      <c r="E3" s="55" t="s">
        <v>2</v>
      </c>
      <c r="F3" s="55"/>
      <c r="G3" s="55"/>
      <c r="H3" s="55"/>
      <c r="I3" s="55"/>
      <c r="J3" s="1" t="str">
        <f>IF(I12=318,1.2381,IF(I12=320,1.3639,IF(I12=321,1.4307,IF(I12=322,1.4895,IF(I12=324,1.6152,IF(I12=328,1.9749,IF(I12=332,2.2279,K3)))))))</f>
        <v>ERROR</v>
      </c>
      <c r="K3" s="1" t="str">
        <f>IF(I12=336,2.4802,IF(I12=340,2.7322,IF(I12=344,2.9837,IF(I12=348,3.235,IF(I12=356,3.7369,IF(I12=360,3.9877,IF(I12=364,4.2384,L3)))))))</f>
        <v>ERROR</v>
      </c>
      <c r="L3" s="1" t="str">
        <f>IF(I12=372,4.7397,IF(I12=378,5.1195,IF(I12=380,5.2406,IF(I12=384,5.491,IF(I12=388,5.7414,IF(I12=394,6.1203,IF(I12=396,6.2421,M3)))))))</f>
        <v>ERROR</v>
      </c>
      <c r="M3" s="1" t="str">
        <f>IF(I12=406,6.8706,IF(I12=6,0.2902,IF(I12=7,0.3533,IF(I12=8,0.4161,IF(I12=10,0.5417,IF(I12=12,0.6671,IF(I12=14,0.7065,N3)))))))</f>
        <v>ERROR</v>
      </c>
      <c r="N3" s="1" t="str">
        <f>IF(I12=16,0.8323,IF(I12=18,0.9579,IF(I12=20,1.0834,IF(I12=21,1.1499,IF(I12=22,1.2088,IF(I12=24,1.3341,IF(I12=28,1.413,O3)))))))</f>
        <v>ERROR</v>
      </c>
      <c r="O3" s="1" t="str">
        <f>IF(I12=32,1.6646,IF(I12=36,1.9158,IF(I12=40,2.1668,IF(I12=44,2.4176,IF(I12=48,2.6682,IF(I12=56,3.1692,IF(I12=60,3.4196,P3)))))))</f>
        <v>ERROR</v>
      </c>
      <c r="P3" s="1" t="str">
        <f>IF(I12=64,3.67,IF(I12=72,4.1706,IF(I12=78,4.55,IF(I12=80,4.671,IF(I12=84,4.9212,IF(I12=88,5.1714,IF(I12=94,5.5453,Q3)))))))</f>
        <v>ERROR</v>
      </c>
      <c r="Q3" s="1" t="str">
        <f>IF(I12=96,5.6717,IF(I12=106,6.3,"ERROR"))</f>
        <v>ERROR</v>
      </c>
    </row>
    <row r="4" spans="5:17" ht="12.75">
      <c r="E4" s="55" t="s">
        <v>3</v>
      </c>
      <c r="F4" s="55"/>
      <c r="G4" s="55"/>
      <c r="H4" s="55"/>
      <c r="I4" s="55"/>
      <c r="J4" s="1" t="str">
        <f>IF(I12=318,1.242,IF(I12=320,1.3678,IF(I12=321,1.4347,IF(I12=322,1.4935,IF(I12=324,1.6192,IF(I12=328,1.9786,IF(I12=332,2.2317,K4)))))))</f>
        <v>ERROR</v>
      </c>
      <c r="K4" s="1" t="str">
        <f>IF(I12=336,2.4841,IF(I12=340,2.7361,IF(I12=344,2.9877,IF(I12=348,3.239,IF(I12=356,3.7411,IF(I12=360,3.992,IF(I12=364,4.2427,L4)))))))</f>
        <v>ERROR</v>
      </c>
      <c r="L4" s="1" t="str">
        <f>IF(I12=372,4.744,IF(I12=378,5.1239,IF(I12=380,5.245,IF(I12=384,5.4954,IF(I12=388,5.7458,IF(I12=394,6.1246,IF(I12=396,6.2464,M4)))))))</f>
        <v>ERROR</v>
      </c>
      <c r="M4" s="1" t="str">
        <f>IF(I12=406,6.875,IF(I12=6,0.294,IF(I12=7,0.3571,IF(I12=8,0.4198,IF(I12=10,0.5454,IF(I12=12,0.6708,IF(I12=14,0.7103,N4)))))))</f>
        <v>ERROR</v>
      </c>
      <c r="N4" s="1" t="str">
        <f>IF(I12=16,0.836,IF(I12=18,0.9616,IF(I12=20,1.0871,IF(I12=21,1.1536,IF(I12=22,1.2125,IF(I12=24,1.3378,IF(I12=28,1.4177,O4)))))))</f>
        <v>ERROR</v>
      </c>
      <c r="O4" s="1" t="str">
        <f>IF(I12=32,1.6692,IF(I12=36,1.9204,IF(I12=40,2.1714,IF(I12=44,2.4222,IF(I12=48,2.6728,IF(I12=56,3.174,IF(I12=60,3.4244,P4)))))))</f>
        <v>ERROR</v>
      </c>
      <c r="P4" s="1" t="str">
        <f>IF(I12=64,3.6748,IF(I12=72,4.1754,IF(I12=78,4.5547,IF(I12=80,4.6757,IF(I12=84,4.9259,IF(I12=88,5.1761,IF(I12=94,5.55,Q4)))))))</f>
        <v>ERROR</v>
      </c>
      <c r="Q4" s="1" t="str">
        <f>IF(I12=96,5.6764,IF(I12=106,6.3047,"ERROR"))</f>
        <v>ERROR</v>
      </c>
    </row>
    <row r="5" spans="1:5" ht="12.75">
      <c r="A5" s="55"/>
      <c r="B5" s="55"/>
      <c r="C5" s="55"/>
      <c r="D5" s="55"/>
      <c r="E5" s="55"/>
    </row>
    <row r="6" spans="1:9" ht="15.75">
      <c r="A6" s="109" t="s">
        <v>4</v>
      </c>
      <c r="B6" s="109"/>
      <c r="C6" s="109"/>
      <c r="D6" s="109"/>
      <c r="E6" s="109"/>
      <c r="F6" s="109"/>
      <c r="G6" s="109"/>
      <c r="H6" s="109"/>
      <c r="I6" s="109"/>
    </row>
    <row r="7" spans="1:9" ht="12.75">
      <c r="A7" s="137" t="s">
        <v>103</v>
      </c>
      <c r="B7" s="138"/>
      <c r="C7" s="138"/>
      <c r="D7" s="138"/>
      <c r="E7" s="138"/>
      <c r="F7" s="138"/>
      <c r="G7" s="138"/>
      <c r="H7" s="138"/>
      <c r="I7" s="138"/>
    </row>
    <row r="9" spans="2:9" ht="12.75">
      <c r="B9" s="57" t="s">
        <v>104</v>
      </c>
      <c r="E9" s="57" t="s">
        <v>105</v>
      </c>
      <c r="I9" s="102">
        <f>Sheet1!I9</f>
        <v>2</v>
      </c>
    </row>
    <row r="10" spans="2:9" ht="12.75" customHeight="1">
      <c r="B10" s="57" t="s">
        <v>106</v>
      </c>
      <c r="E10" s="57" t="s">
        <v>107</v>
      </c>
      <c r="I10" s="147"/>
    </row>
    <row r="11" spans="2:6" ht="13.5" customHeight="1">
      <c r="B11" s="57" t="s">
        <v>108</v>
      </c>
      <c r="E11" s="143" t="s">
        <v>109</v>
      </c>
      <c r="F11" s="144"/>
    </row>
    <row r="12" spans="2:9" ht="13.5" customHeight="1">
      <c r="B12" s="57" t="s">
        <v>110</v>
      </c>
      <c r="E12" s="148" t="s">
        <v>60</v>
      </c>
      <c r="F12" s="149"/>
      <c r="G12" s="149"/>
      <c r="I12" s="67">
        <f>Sheet1!I12</f>
        <v>0</v>
      </c>
    </row>
    <row r="13" spans="1:9" ht="12.75">
      <c r="A13" s="146" t="s">
        <v>56</v>
      </c>
      <c r="B13" s="146"/>
      <c r="C13" s="146"/>
      <c r="D13" s="146"/>
      <c r="E13" s="146"/>
      <c r="F13" s="146"/>
      <c r="G13" s="146"/>
      <c r="H13" s="146"/>
      <c r="I13" s="146"/>
    </row>
    <row r="14" spans="1:9" ht="12.75">
      <c r="A14" s="143" t="s">
        <v>111</v>
      </c>
      <c r="B14" s="144"/>
      <c r="C14" s="144"/>
      <c r="D14" s="144"/>
      <c r="E14" s="144"/>
      <c r="F14" s="144"/>
      <c r="G14" s="144"/>
      <c r="I14" s="102">
        <f>Sheet1!I14</f>
        <v>1</v>
      </c>
    </row>
    <row r="15" spans="1:9" ht="12.75">
      <c r="A15" s="144"/>
      <c r="B15" s="144"/>
      <c r="C15" s="144"/>
      <c r="D15" s="144"/>
      <c r="E15" s="144"/>
      <c r="F15" s="144"/>
      <c r="G15" s="144"/>
      <c r="I15" s="102"/>
    </row>
    <row r="16" spans="1:9" ht="12.75">
      <c r="A16" s="145" t="s">
        <v>61</v>
      </c>
      <c r="B16" s="145"/>
      <c r="C16" s="145"/>
      <c r="D16" s="145"/>
      <c r="E16" s="145"/>
      <c r="F16" s="145"/>
      <c r="G16" s="145"/>
      <c r="H16" s="145"/>
      <c r="I16" s="145"/>
    </row>
    <row r="17" spans="1:9" ht="12.75">
      <c r="A17" s="137" t="s">
        <v>112</v>
      </c>
      <c r="B17" s="138"/>
      <c r="C17" s="138"/>
      <c r="D17" s="138"/>
      <c r="E17" s="138"/>
      <c r="F17" s="138"/>
      <c r="G17" s="138"/>
      <c r="H17" s="138"/>
      <c r="I17" s="138"/>
    </row>
    <row r="19" spans="2:9" ht="12.75">
      <c r="B19" s="57" t="s">
        <v>113</v>
      </c>
      <c r="E19" s="57" t="s">
        <v>114</v>
      </c>
      <c r="I19" s="102"/>
    </row>
    <row r="20" spans="2:9" ht="12.75">
      <c r="B20" s="57" t="s">
        <v>115</v>
      </c>
      <c r="E20" s="137" t="s">
        <v>116</v>
      </c>
      <c r="F20" s="137"/>
      <c r="G20" s="137"/>
      <c r="I20" s="102"/>
    </row>
    <row r="21" spans="2:9" ht="15.75">
      <c r="B21" s="57"/>
      <c r="E21" s="56"/>
      <c r="F21" s="56"/>
      <c r="G21" s="56"/>
      <c r="I21" s="58"/>
    </row>
    <row r="22" spans="1:9" ht="12.75">
      <c r="A22" s="141" t="s">
        <v>53</v>
      </c>
      <c r="B22" s="141"/>
      <c r="C22" s="141"/>
      <c r="D22" s="141"/>
      <c r="E22" s="141"/>
      <c r="F22" s="141"/>
      <c r="G22" s="141"/>
      <c r="I22" s="102"/>
    </row>
    <row r="23" spans="1:9" ht="12.75">
      <c r="A23" s="141"/>
      <c r="B23" s="141"/>
      <c r="C23" s="141"/>
      <c r="D23" s="141"/>
      <c r="E23" s="141"/>
      <c r="F23" s="141"/>
      <c r="G23" s="141"/>
      <c r="I23" s="102"/>
    </row>
    <row r="24" spans="1:9" ht="15.75">
      <c r="A24" s="142"/>
      <c r="B24" s="142"/>
      <c r="C24" s="142"/>
      <c r="D24" s="142"/>
      <c r="E24" s="142"/>
      <c r="F24" s="142"/>
      <c r="G24" s="142"/>
      <c r="I24" s="58"/>
    </row>
    <row r="25" spans="1:9" ht="12.75">
      <c r="A25" s="137" t="s">
        <v>117</v>
      </c>
      <c r="B25" s="138"/>
      <c r="C25" s="138"/>
      <c r="D25" s="138"/>
      <c r="E25" s="138"/>
      <c r="F25" s="138"/>
      <c r="G25" s="138"/>
      <c r="H25" s="138"/>
      <c r="I25" s="138"/>
    </row>
    <row r="27" spans="1:8" ht="12.75">
      <c r="A27" s="59" t="s">
        <v>44</v>
      </c>
      <c r="B27" s="56" t="s">
        <v>118</v>
      </c>
      <c r="D27" s="59" t="s">
        <v>45</v>
      </c>
      <c r="E27" s="56" t="s">
        <v>119</v>
      </c>
      <c r="H27" s="56" t="s">
        <v>120</v>
      </c>
    </row>
    <row r="28" spans="2:8" ht="12.75">
      <c r="B28" s="56" t="s">
        <v>121</v>
      </c>
      <c r="E28" s="56" t="s">
        <v>122</v>
      </c>
      <c r="H28" s="56" t="s">
        <v>123</v>
      </c>
    </row>
    <row r="29" spans="2:9" ht="12.75">
      <c r="B29" s="56" t="s">
        <v>124</v>
      </c>
      <c r="I29" s="102"/>
    </row>
    <row r="30" spans="2:9" ht="12.75">
      <c r="B30" s="56" t="s">
        <v>125</v>
      </c>
      <c r="D30" s="59" t="s">
        <v>46</v>
      </c>
      <c r="E30" s="56" t="s">
        <v>126</v>
      </c>
      <c r="I30" s="102"/>
    </row>
    <row r="32" spans="1:9" ht="12.75">
      <c r="A32" s="137" t="s">
        <v>127</v>
      </c>
      <c r="B32" s="138"/>
      <c r="C32" s="138"/>
      <c r="D32" s="138"/>
      <c r="E32" s="138"/>
      <c r="F32" s="138"/>
      <c r="G32" s="138"/>
      <c r="H32" s="138"/>
      <c r="I32" s="138"/>
    </row>
    <row r="33" spans="1:9" ht="12.75">
      <c r="A33" s="6"/>
      <c r="B33" s="5"/>
      <c r="C33" s="5"/>
      <c r="D33" s="5"/>
      <c r="E33" s="5"/>
      <c r="F33" s="7"/>
      <c r="G33" s="5"/>
      <c r="H33" s="5"/>
      <c r="I33" s="5"/>
    </row>
    <row r="34" spans="1:9" ht="12.75">
      <c r="A34" s="60" t="s">
        <v>21</v>
      </c>
      <c r="C34" s="66"/>
      <c r="D34" s="60" t="s">
        <v>22</v>
      </c>
      <c r="F34" s="66"/>
      <c r="G34" s="60" t="s">
        <v>23</v>
      </c>
      <c r="I34" s="66"/>
    </row>
    <row r="35" spans="1:9" ht="12.75">
      <c r="A35" s="5"/>
      <c r="F35" s="6"/>
      <c r="G35" s="6"/>
      <c r="H35" s="6"/>
      <c r="I35" s="6"/>
    </row>
    <row r="36" spans="2:7" ht="12.75">
      <c r="B36" s="139" t="s">
        <v>24</v>
      </c>
      <c r="C36" s="139"/>
      <c r="D36" s="139"/>
      <c r="E36" s="139"/>
      <c r="F36" s="139"/>
      <c r="G36" s="139"/>
    </row>
    <row r="37" spans="2:9" ht="12.75">
      <c r="B37" s="61"/>
      <c r="C37" s="61"/>
      <c r="D37" s="140" t="s">
        <v>54</v>
      </c>
      <c r="E37" s="140"/>
      <c r="F37" s="140"/>
      <c r="G37" s="140"/>
      <c r="I37" s="68"/>
    </row>
    <row r="39" spans="1:9" ht="12.75">
      <c r="A39" s="109" t="s">
        <v>58</v>
      </c>
      <c r="B39" s="109"/>
      <c r="C39" s="109"/>
      <c r="D39" s="109"/>
      <c r="E39" s="109"/>
      <c r="F39" s="109"/>
      <c r="G39" s="109"/>
      <c r="H39" s="109"/>
      <c r="I39" s="109"/>
    </row>
    <row r="40" spans="1:9" ht="12.75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ht="12.75">
      <c r="A41" s="110" t="str">
        <f>IF(I14=1,"External Spline","Internal Spline")</f>
        <v>External Spline</v>
      </c>
      <c r="B41" s="110"/>
      <c r="C41" s="110" t="str">
        <f>IF(I9=7,"Full Fillet Type","N/A")</f>
        <v>N/A</v>
      </c>
      <c r="D41" s="110"/>
      <c r="E41" s="110"/>
      <c r="F41" s="110" t="str">
        <f>IF(I9=7,"Lockheed Design Std.","N/A")</f>
        <v>N/A</v>
      </c>
      <c r="G41" s="110"/>
      <c r="H41" s="110"/>
      <c r="I41" s="62" t="str">
        <f>IF(I29=1,"Class 1",IF(I29=2,"Class 2",IF(I29=4,"Class 4",IF(I29=5,"Class 5",IF(I29=6,"Class 6",IF(I29=7,"Class 7"," "))))))</f>
        <v> </v>
      </c>
    </row>
    <row r="42" spans="1:9" ht="12.75">
      <c r="A42" s="111"/>
      <c r="B42" s="111"/>
      <c r="C42" s="111"/>
      <c r="D42" s="111"/>
      <c r="E42" s="111"/>
      <c r="F42" s="111"/>
      <c r="G42" s="111"/>
      <c r="H42" s="111"/>
      <c r="I42" s="62" t="str">
        <f>IF(I29=8,"Class A",IF(I29=9,"Class B",IF(I29=10,"Class C"," ")))</f>
        <v> </v>
      </c>
    </row>
    <row r="43" spans="2:9" ht="12.75">
      <c r="B43" s="60" t="s">
        <v>25</v>
      </c>
      <c r="C43" s="2" t="str">
        <f>IF(OR(I12=306,I12=6),11,IF(OR(I12=307,I12=314,I12=328,I12=7,I12=14,I12=28),13,IF(OR(I12=308,I12=316,I12=332,I12=8,I12=16,I12=32),15,IF(OR(I12=318,I12=336,I12=18,I12=36),17,IF(OR(I12=310,I12=320,I12=340,I12=10,I12=20,I12=40),19,IF(OR(I12=321,I12=21),20,IF(OR(I12=322,I12=344,I12=22,I12=44),21,J1)))))))</f>
        <v>ERROR</v>
      </c>
      <c r="E43" s="60" t="s">
        <v>40</v>
      </c>
      <c r="F43" s="63" t="str">
        <f>"N/A"</f>
        <v>N/A</v>
      </c>
      <c r="H43" s="60" t="s">
        <v>29</v>
      </c>
      <c r="I43" s="8" t="str">
        <f>IF(I12=306,0.3685,IF(I12=307,0.4285,IF(I12=308,0.4915,IF(I12=310,0.6165,IF(I12=312,0.7415,IF(I12=314,0.8615,IF(I12=316,0.9845,L1)))))))</f>
        <v>ERROR</v>
      </c>
    </row>
    <row r="44" spans="2:9" ht="12.75">
      <c r="B44" s="60" t="s">
        <v>26</v>
      </c>
      <c r="C44" s="2" t="str">
        <f>IF(AND(I14=1,I12&gt;=306,I12&lt;=312),32,IF(AND(I14=1,I12&gt;=314,I12&lt;=324),16,IF(AND(I14=1,I12&gt;=328,I12&lt;=406),8,IF(AND(I14=2,I12&gt;=6,I12&lt;=12),32,IF(AND(I14=2,I12&gt;=14,I12&lt;=24),16,IF(AND(I14=2,I12&gt;=28,I12&lt;=106),8,"ERROR"))))))</f>
        <v>ERROR</v>
      </c>
      <c r="E44" s="60" t="s">
        <v>33</v>
      </c>
      <c r="F44" s="8" t="str">
        <f>"N/A"</f>
        <v>N/A</v>
      </c>
      <c r="H44" s="60" t="s">
        <v>30</v>
      </c>
      <c r="I44" s="8" t="str">
        <f>IF(AND(I14=1,C44=32),I43+0.0015,IF(AND(I14=1,C44=16),I43+0.0025,IF(AND(I14=1,C44=8),I43+0.0035,IF(AND(I14=2,C44=32),I43+0.005,IF(AND(I14=2,C44=16),I43+0.01,IF(AND(I14=2,C44=8),I43+0.02,"ERROR"))))))</f>
        <v>ERROR</v>
      </c>
    </row>
    <row r="45" spans="1:9" ht="12.75">
      <c r="A45" s="9"/>
      <c r="B45" s="60" t="s">
        <v>27</v>
      </c>
      <c r="C45" s="2" t="str">
        <f>IF(I9=7,30,"ERROR")</f>
        <v>ERROR</v>
      </c>
      <c r="E45" s="60" t="s">
        <v>34</v>
      </c>
      <c r="F45" s="8" t="str">
        <f>"N/A"</f>
        <v>N/A</v>
      </c>
      <c r="H45" s="60" t="s">
        <v>31</v>
      </c>
      <c r="I45" s="8" t="str">
        <f>IF(I12=306,0.2888,IF(I12=307,0.3513,IF(I12=308,0.4138,IF(I12=310,0.5388,IF(I12=312,0.6638,IF(I12=314,0.7025,IF(I12=316,0.8275,L2)))))))</f>
        <v>ERROR</v>
      </c>
    </row>
    <row r="46" spans="1:9" ht="12.75">
      <c r="A46" s="9"/>
      <c r="B46" s="60" t="s">
        <v>28</v>
      </c>
      <c r="C46" s="64" t="e">
        <f>C43/C44</f>
        <v>#VALUE!</v>
      </c>
      <c r="E46" s="60" t="s">
        <v>35</v>
      </c>
      <c r="F46" s="8" t="str">
        <f>"N/A"</f>
        <v>N/A</v>
      </c>
      <c r="H46" s="60" t="s">
        <v>32</v>
      </c>
      <c r="I46" s="8" t="str">
        <f>IF(AND(I14=1,C44=32),I45+0.005,IF(AND(I14=1,C44=16),I45+0.01,IF(AND(I14=1,C44=8),I45+0.02,IF(AND(I14=2,C44=32),I45+0.0015,IF(AND(I14=2,C44=16),I45+0.0025,IF(AND(I14=2,C44=8),I45+0.0035,"ERROR"))))))</f>
        <v>ERROR</v>
      </c>
    </row>
    <row r="47" spans="2:9" ht="12.75">
      <c r="B47" s="60" t="s">
        <v>41</v>
      </c>
      <c r="C47" s="64" t="str">
        <f>"N/A"</f>
        <v>N/A</v>
      </c>
      <c r="E47" s="60" t="s">
        <v>36</v>
      </c>
      <c r="F47" s="8" t="str">
        <f>"N/A"</f>
        <v>N/A</v>
      </c>
      <c r="H47" s="60" t="s">
        <v>42</v>
      </c>
      <c r="I47" s="8" t="str">
        <f>"N/A"</f>
        <v>N/A</v>
      </c>
    </row>
    <row r="48" spans="1:9" ht="12.75">
      <c r="A48" s="10"/>
      <c r="B48" s="2"/>
      <c r="C48" s="60" t="s">
        <v>37</v>
      </c>
      <c r="D48" s="8" t="str">
        <f>IF(I12=306,0.4279,IF(I12=307,0.4913,IF(I12=308,0.5546,IF(I12=310,0.6806,IF(I12=312,0.806,IF(I12=314,0.9854,IF(I12=316,1.1119,J3)))))))</f>
        <v>ERROR</v>
      </c>
      <c r="E48" s="65" t="s">
        <v>43</v>
      </c>
      <c r="F48" s="8" t="str">
        <f>IF(I12=306,0.4309,IF(I12=307,0.4944,IF(I12=308,0.5577,IF(I12=310,0.6837,IF(I12=312,0.8093,IF(I12=314,0.9892,IF(I12=316,1.1158,J4)))))))</f>
        <v>ERROR</v>
      </c>
      <c r="G48" s="65" t="s">
        <v>38</v>
      </c>
      <c r="H48" s="8" t="e">
        <f>IF(I14=1,(1.92/C44),(1.44/C44))</f>
        <v>#VALUE!</v>
      </c>
      <c r="I48" s="65" t="s">
        <v>39</v>
      </c>
    </row>
    <row r="49" spans="1:9" ht="12.75">
      <c r="A49" s="10"/>
      <c r="B49" s="2"/>
      <c r="C49" s="60" t="s">
        <v>37</v>
      </c>
      <c r="D49" s="8"/>
      <c r="E49" s="65" t="s">
        <v>43</v>
      </c>
      <c r="F49" s="8"/>
      <c r="G49" s="65" t="s">
        <v>38</v>
      </c>
      <c r="H49" s="8" t="e">
        <f>IF(I14=1,(1.728/C44),(1.68/C44))</f>
        <v>#VALUE!</v>
      </c>
      <c r="I49" s="65" t="s">
        <v>39</v>
      </c>
    </row>
    <row r="50" spans="1:9" ht="12.75">
      <c r="A50" s="10"/>
      <c r="B50" s="2"/>
      <c r="C50" s="60" t="s">
        <v>37</v>
      </c>
      <c r="D50" s="8"/>
      <c r="E50" s="65" t="s">
        <v>43</v>
      </c>
      <c r="F50" s="8"/>
      <c r="G50" s="65" t="s">
        <v>38</v>
      </c>
      <c r="H50" s="8" t="e">
        <f>IF(I14=1,(1.68/C44),(1.728/C44))</f>
        <v>#VALUE!</v>
      </c>
      <c r="I50" s="65" t="s">
        <v>39</v>
      </c>
    </row>
  </sheetData>
  <sheetProtection/>
  <mergeCells count="24">
    <mergeCell ref="A6:I6"/>
    <mergeCell ref="A7:I7"/>
    <mergeCell ref="A13:I13"/>
    <mergeCell ref="E11:F11"/>
    <mergeCell ref="I9:I10"/>
    <mergeCell ref="E12:G12"/>
    <mergeCell ref="A14:G15"/>
    <mergeCell ref="I14:I15"/>
    <mergeCell ref="A17:I17"/>
    <mergeCell ref="I19:I20"/>
    <mergeCell ref="E20:G20"/>
    <mergeCell ref="A16:I16"/>
    <mergeCell ref="A22:G23"/>
    <mergeCell ref="I22:I23"/>
    <mergeCell ref="A24:G24"/>
    <mergeCell ref="A25:I25"/>
    <mergeCell ref="I29:I30"/>
    <mergeCell ref="A32:I32"/>
    <mergeCell ref="B36:G36"/>
    <mergeCell ref="D37:G37"/>
    <mergeCell ref="A39:I40"/>
    <mergeCell ref="A41:B42"/>
    <mergeCell ref="C41:E42"/>
    <mergeCell ref="F41:H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Young</dc:creator>
  <cp:keywords/>
  <dc:description/>
  <cp:lastModifiedBy>Manny</cp:lastModifiedBy>
  <cp:lastPrinted>2010-05-27T21:04:30Z</cp:lastPrinted>
  <dcterms:created xsi:type="dcterms:W3CDTF">2003-02-04T16:16:56Z</dcterms:created>
  <dcterms:modified xsi:type="dcterms:W3CDTF">2010-05-27T23:23:09Z</dcterms:modified>
  <cp:category/>
  <cp:version/>
  <cp:contentType/>
  <cp:contentStatus/>
</cp:coreProperties>
</file>